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/>
  </mc:AlternateContent>
  <xr:revisionPtr revIDLastSave="0" documentId="8_{20768F74-693B-4D6F-9064-60F2DB5E58F3}" xr6:coauthVersionLast="47" xr6:coauthVersionMax="47" xr10:uidLastSave="{00000000-0000-0000-0000-000000000000}"/>
  <bookViews>
    <workbookView xWindow="38280" yWindow="-120" windowWidth="29040" windowHeight="15720" activeTab="1" xr2:uid="{00000000-000D-0000-FFFF-FFFF00000000}"/>
    <workbookView xWindow="38280" yWindow="-120" windowWidth="29040" windowHeight="15720" activeTab="1" xr2:uid="{00000000-000D-0000-FFFF-FFFF01000000}"/>
  </bookViews>
  <sheets>
    <sheet name="Данные" sheetId="1" r:id="rId1"/>
    <sheet name="Спирман_графики" sheetId="2" r:id="rId2"/>
    <sheet name="Регрессия_графики" sheetId="3" r:id="rId3"/>
    <sheet name="Расчёты_графиков" sheetId="4" r:id="rId4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702" i="4" l="1"/>
  <c r="S703" i="4"/>
  <c r="S704" i="4"/>
  <c r="S705" i="4"/>
  <c r="S706" i="4"/>
  <c r="S707" i="4"/>
  <c r="S708" i="4"/>
  <c r="S709" i="4"/>
  <c r="S710" i="4"/>
  <c r="S711" i="4"/>
  <c r="S712" i="4"/>
  <c r="S713" i="4"/>
  <c r="S714" i="4"/>
  <c r="S715" i="4"/>
  <c r="S716" i="4"/>
  <c r="S717" i="4"/>
  <c r="S718" i="4"/>
  <c r="S719" i="4"/>
  <c r="S720" i="4"/>
  <c r="S721" i="4"/>
  <c r="S722" i="4"/>
  <c r="S723" i="4"/>
  <c r="S724" i="4"/>
  <c r="S725" i="4"/>
  <c r="S726" i="4"/>
  <c r="S727" i="4"/>
  <c r="S728" i="4"/>
  <c r="S729" i="4"/>
  <c r="S730" i="4"/>
  <c r="S731" i="4"/>
  <c r="S732" i="4"/>
  <c r="S733" i="4"/>
  <c r="S734" i="4"/>
  <c r="S735" i="4"/>
  <c r="S736" i="4"/>
  <c r="S737" i="4"/>
  <c r="S738" i="4"/>
  <c r="S739" i="4"/>
  <c r="S740" i="4"/>
  <c r="S741" i="4"/>
  <c r="S742" i="4"/>
  <c r="S743" i="4"/>
  <c r="S744" i="4"/>
  <c r="S745" i="4"/>
  <c r="S746" i="4"/>
  <c r="S747" i="4"/>
  <c r="S748" i="4"/>
  <c r="S749" i="4"/>
  <c r="S750" i="4"/>
  <c r="S751" i="4"/>
  <c r="S752" i="4"/>
  <c r="S753" i="4"/>
  <c r="S754" i="4"/>
  <c r="S755" i="4"/>
  <c r="S756" i="4"/>
  <c r="S757" i="4"/>
  <c r="S758" i="4"/>
  <c r="S759" i="4"/>
  <c r="S760" i="4"/>
  <c r="S761" i="4"/>
  <c r="S762" i="4"/>
  <c r="S763" i="4"/>
  <c r="S764" i="4"/>
  <c r="S765" i="4"/>
  <c r="S766" i="4"/>
  <c r="S767" i="4"/>
  <c r="S768" i="4"/>
  <c r="S769" i="4"/>
  <c r="S770" i="4"/>
  <c r="S771" i="4"/>
  <c r="S772" i="4"/>
  <c r="S773" i="4"/>
  <c r="S774" i="4"/>
  <c r="S775" i="4"/>
  <c r="S472" i="4"/>
  <c r="S473" i="4"/>
  <c r="S474" i="4"/>
  <c r="S475" i="4"/>
  <c r="S476" i="4"/>
  <c r="S477" i="4"/>
  <c r="S478" i="4"/>
  <c r="S479" i="4"/>
  <c r="S480" i="4"/>
  <c r="S481" i="4"/>
  <c r="S482" i="4"/>
  <c r="S483" i="4"/>
  <c r="S484" i="4"/>
  <c r="S485" i="4"/>
  <c r="S486" i="4"/>
  <c r="S487" i="4"/>
  <c r="S488" i="4"/>
  <c r="S489" i="4"/>
  <c r="S490" i="4"/>
  <c r="S491" i="4"/>
  <c r="S492" i="4"/>
  <c r="S493" i="4"/>
  <c r="S494" i="4"/>
  <c r="S495" i="4"/>
  <c r="S496" i="4"/>
  <c r="S497" i="4"/>
  <c r="S498" i="4"/>
  <c r="S499" i="4"/>
  <c r="S500" i="4"/>
  <c r="S501" i="4"/>
  <c r="S502" i="4"/>
  <c r="S503" i="4"/>
  <c r="S504" i="4"/>
  <c r="S505" i="4"/>
  <c r="S506" i="4"/>
  <c r="S507" i="4"/>
  <c r="S508" i="4"/>
  <c r="S509" i="4"/>
  <c r="S510" i="4"/>
  <c r="S511" i="4"/>
  <c r="S512" i="4"/>
  <c r="S513" i="4"/>
  <c r="S514" i="4"/>
  <c r="S515" i="4"/>
  <c r="S516" i="4"/>
  <c r="S517" i="4"/>
  <c r="S518" i="4"/>
  <c r="S519" i="4"/>
  <c r="S520" i="4"/>
  <c r="S521" i="4"/>
  <c r="S522" i="4"/>
  <c r="S523" i="4"/>
  <c r="S524" i="4"/>
  <c r="S525" i="4"/>
  <c r="S526" i="4"/>
  <c r="S527" i="4"/>
  <c r="S528" i="4"/>
  <c r="S529" i="4"/>
  <c r="S530" i="4"/>
  <c r="S531" i="4"/>
  <c r="S532" i="4"/>
  <c r="S533" i="4"/>
  <c r="S534" i="4"/>
  <c r="S535" i="4"/>
  <c r="S536" i="4"/>
  <c r="S537" i="4"/>
  <c r="S538" i="4"/>
  <c r="S539" i="4"/>
  <c r="S540" i="4"/>
  <c r="S541" i="4"/>
  <c r="S542" i="4"/>
  <c r="S543" i="4"/>
  <c r="S544" i="4"/>
  <c r="S545" i="4"/>
  <c r="S242" i="4"/>
  <c r="S243" i="4"/>
  <c r="S244" i="4"/>
  <c r="S245" i="4"/>
  <c r="S246" i="4"/>
  <c r="S247" i="4"/>
  <c r="S248" i="4"/>
  <c r="S249" i="4"/>
  <c r="S250" i="4"/>
  <c r="S251" i="4"/>
  <c r="S252" i="4"/>
  <c r="S253" i="4"/>
  <c r="S254" i="4"/>
  <c r="S255" i="4"/>
  <c r="S256" i="4"/>
  <c r="S257" i="4"/>
  <c r="S258" i="4"/>
  <c r="S259" i="4"/>
  <c r="S260" i="4"/>
  <c r="S261" i="4"/>
  <c r="S262" i="4"/>
  <c r="S263" i="4"/>
  <c r="S264" i="4"/>
  <c r="S265" i="4"/>
  <c r="S266" i="4"/>
  <c r="S267" i="4"/>
  <c r="S268" i="4"/>
  <c r="S269" i="4"/>
  <c r="S270" i="4"/>
  <c r="S271" i="4"/>
  <c r="S272" i="4"/>
  <c r="S273" i="4"/>
  <c r="S274" i="4"/>
  <c r="S275" i="4"/>
  <c r="S276" i="4"/>
  <c r="S277" i="4"/>
  <c r="S278" i="4"/>
  <c r="S279" i="4"/>
  <c r="S280" i="4"/>
  <c r="S281" i="4"/>
  <c r="S282" i="4"/>
  <c r="S283" i="4"/>
  <c r="S284" i="4"/>
  <c r="S285" i="4"/>
  <c r="S286" i="4"/>
  <c r="S287" i="4"/>
  <c r="S288" i="4"/>
  <c r="S289" i="4"/>
  <c r="S290" i="4"/>
  <c r="S291" i="4"/>
  <c r="S292" i="4"/>
  <c r="S293" i="4"/>
  <c r="S294" i="4"/>
  <c r="S295" i="4"/>
  <c r="S296" i="4"/>
  <c r="S297" i="4"/>
  <c r="S298" i="4"/>
  <c r="S299" i="4"/>
  <c r="S300" i="4"/>
  <c r="S301" i="4"/>
  <c r="S302" i="4"/>
  <c r="S303" i="4"/>
  <c r="S304" i="4"/>
  <c r="S305" i="4"/>
  <c r="S306" i="4"/>
  <c r="S307" i="4"/>
  <c r="S308" i="4"/>
  <c r="S309" i="4"/>
  <c r="S310" i="4"/>
  <c r="S311" i="4"/>
  <c r="S312" i="4"/>
  <c r="S313" i="4"/>
  <c r="S314" i="4"/>
  <c r="S315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S50" i="4"/>
  <c r="S51" i="4"/>
  <c r="S52" i="4"/>
  <c r="S53" i="4"/>
  <c r="S54" i="4"/>
  <c r="S55" i="4"/>
  <c r="S56" i="4"/>
  <c r="S57" i="4"/>
  <c r="S58" i="4"/>
  <c r="S59" i="4"/>
  <c r="S60" i="4"/>
  <c r="S61" i="4"/>
  <c r="S62" i="4"/>
  <c r="S63" i="4"/>
  <c r="S64" i="4"/>
  <c r="S65" i="4"/>
  <c r="S66" i="4"/>
  <c r="S67" i="4"/>
  <c r="S68" i="4"/>
  <c r="S69" i="4"/>
  <c r="S70" i="4"/>
  <c r="S71" i="4"/>
  <c r="S72" i="4"/>
  <c r="S73" i="4"/>
  <c r="S74" i="4"/>
  <c r="S75" i="4"/>
  <c r="S76" i="4"/>
  <c r="S77" i="4"/>
  <c r="S78" i="4"/>
  <c r="S79" i="4"/>
  <c r="S80" i="4"/>
  <c r="S81" i="4"/>
  <c r="S82" i="4"/>
  <c r="S83" i="4"/>
  <c r="S84" i="4"/>
  <c r="S85" i="4"/>
  <c r="U1733" i="4"/>
  <c r="U1732" i="4"/>
  <c r="U1730" i="4"/>
  <c r="U1729" i="4"/>
  <c r="U1727" i="4"/>
  <c r="U1726" i="4"/>
  <c r="U1724" i="4"/>
  <c r="U1723" i="4"/>
  <c r="U1721" i="4"/>
  <c r="U1720" i="4"/>
  <c r="P1695" i="4"/>
  <c r="O1695" i="4"/>
  <c r="L1695" i="4"/>
  <c r="K1695" i="4"/>
  <c r="P1694" i="4"/>
  <c r="O1694" i="4"/>
  <c r="L1694" i="4"/>
  <c r="K1694" i="4"/>
  <c r="P1693" i="4"/>
  <c r="O1693" i="4"/>
  <c r="L1693" i="4"/>
  <c r="K1693" i="4"/>
  <c r="P1692" i="4"/>
  <c r="O1692" i="4"/>
  <c r="L1692" i="4"/>
  <c r="K1692" i="4"/>
  <c r="P1691" i="4"/>
  <c r="O1691" i="4"/>
  <c r="L1691" i="4"/>
  <c r="K1691" i="4"/>
  <c r="P1690" i="4"/>
  <c r="O1690" i="4"/>
  <c r="L1690" i="4"/>
  <c r="K1690" i="4"/>
  <c r="P1689" i="4"/>
  <c r="O1689" i="4"/>
  <c r="L1689" i="4"/>
  <c r="K1689" i="4"/>
  <c r="P1688" i="4"/>
  <c r="O1688" i="4"/>
  <c r="L1688" i="4"/>
  <c r="K1688" i="4"/>
  <c r="P1687" i="4"/>
  <c r="O1687" i="4"/>
  <c r="L1687" i="4"/>
  <c r="K1687" i="4"/>
  <c r="P1686" i="4"/>
  <c r="O1686" i="4"/>
  <c r="L1686" i="4"/>
  <c r="K1686" i="4"/>
  <c r="P1685" i="4"/>
  <c r="O1685" i="4"/>
  <c r="L1685" i="4"/>
  <c r="K1685" i="4"/>
  <c r="P1684" i="4"/>
  <c r="O1684" i="4"/>
  <c r="L1684" i="4"/>
  <c r="K1684" i="4"/>
  <c r="P1683" i="4"/>
  <c r="O1683" i="4"/>
  <c r="L1683" i="4"/>
  <c r="K1683" i="4"/>
  <c r="P1682" i="4"/>
  <c r="O1682" i="4"/>
  <c r="L1682" i="4"/>
  <c r="K1682" i="4"/>
  <c r="P1681" i="4"/>
  <c r="O1681" i="4"/>
  <c r="L1681" i="4"/>
  <c r="K1681" i="4"/>
  <c r="P1680" i="4"/>
  <c r="O1680" i="4"/>
  <c r="L1680" i="4"/>
  <c r="K1680" i="4"/>
  <c r="P1679" i="4"/>
  <c r="O1679" i="4"/>
  <c r="L1679" i="4"/>
  <c r="K1679" i="4"/>
  <c r="P1678" i="4"/>
  <c r="O1678" i="4"/>
  <c r="L1678" i="4"/>
  <c r="K1678" i="4"/>
  <c r="P1677" i="4"/>
  <c r="O1677" i="4"/>
  <c r="L1677" i="4"/>
  <c r="K1677" i="4"/>
  <c r="P1676" i="4"/>
  <c r="O1676" i="4"/>
  <c r="L1676" i="4"/>
  <c r="K1676" i="4"/>
  <c r="P1675" i="4"/>
  <c r="O1675" i="4"/>
  <c r="L1675" i="4"/>
  <c r="K1675" i="4"/>
  <c r="P1674" i="4"/>
  <c r="O1674" i="4"/>
  <c r="L1674" i="4"/>
  <c r="K1674" i="4"/>
  <c r="P1673" i="4"/>
  <c r="O1673" i="4"/>
  <c r="L1673" i="4"/>
  <c r="K1673" i="4"/>
  <c r="P1672" i="4"/>
  <c r="O1672" i="4"/>
  <c r="L1672" i="4"/>
  <c r="K1672" i="4"/>
  <c r="P1671" i="4"/>
  <c r="O1671" i="4"/>
  <c r="L1671" i="4"/>
  <c r="K1671" i="4"/>
  <c r="P1670" i="4"/>
  <c r="O1670" i="4"/>
  <c r="L1670" i="4"/>
  <c r="K1670" i="4"/>
  <c r="P1669" i="4"/>
  <c r="O1669" i="4"/>
  <c r="L1669" i="4"/>
  <c r="K1669" i="4"/>
  <c r="P1668" i="4"/>
  <c r="O1668" i="4"/>
  <c r="L1668" i="4"/>
  <c r="K1668" i="4"/>
  <c r="P1667" i="4"/>
  <c r="O1667" i="4"/>
  <c r="L1667" i="4"/>
  <c r="K1667" i="4"/>
  <c r="P1666" i="4"/>
  <c r="O1666" i="4"/>
  <c r="L1666" i="4"/>
  <c r="K1666" i="4"/>
  <c r="P1665" i="4"/>
  <c r="O1665" i="4"/>
  <c r="L1665" i="4"/>
  <c r="K1665" i="4"/>
  <c r="P1664" i="4"/>
  <c r="O1664" i="4"/>
  <c r="L1664" i="4"/>
  <c r="K1664" i="4"/>
  <c r="P1663" i="4"/>
  <c r="O1663" i="4"/>
  <c r="L1663" i="4"/>
  <c r="K1663" i="4"/>
  <c r="P1662" i="4"/>
  <c r="O1662" i="4"/>
  <c r="L1662" i="4"/>
  <c r="K1662" i="4"/>
  <c r="P1661" i="4"/>
  <c r="O1661" i="4"/>
  <c r="L1661" i="4"/>
  <c r="K1661" i="4"/>
  <c r="P1660" i="4"/>
  <c r="O1660" i="4"/>
  <c r="L1660" i="4"/>
  <c r="K1660" i="4"/>
  <c r="P1659" i="4"/>
  <c r="O1659" i="4"/>
  <c r="L1659" i="4"/>
  <c r="K1659" i="4"/>
  <c r="P1658" i="4"/>
  <c r="O1658" i="4"/>
  <c r="L1658" i="4"/>
  <c r="K1658" i="4"/>
  <c r="P1657" i="4"/>
  <c r="O1657" i="4"/>
  <c r="L1657" i="4"/>
  <c r="K1657" i="4"/>
  <c r="P1656" i="4"/>
  <c r="O1656" i="4"/>
  <c r="L1656" i="4"/>
  <c r="K1656" i="4"/>
  <c r="P1655" i="4"/>
  <c r="O1655" i="4"/>
  <c r="L1655" i="4"/>
  <c r="K1655" i="4"/>
  <c r="P1654" i="4"/>
  <c r="O1654" i="4"/>
  <c r="L1654" i="4"/>
  <c r="K1654" i="4"/>
  <c r="P1653" i="4"/>
  <c r="O1653" i="4"/>
  <c r="L1653" i="4"/>
  <c r="K1653" i="4"/>
  <c r="P1652" i="4"/>
  <c r="O1652" i="4"/>
  <c r="L1652" i="4"/>
  <c r="K1652" i="4"/>
  <c r="P1651" i="4"/>
  <c r="O1651" i="4"/>
  <c r="L1651" i="4"/>
  <c r="K1651" i="4"/>
  <c r="P1650" i="4"/>
  <c r="O1650" i="4"/>
  <c r="L1650" i="4"/>
  <c r="K1650" i="4"/>
  <c r="P1649" i="4"/>
  <c r="O1649" i="4"/>
  <c r="L1649" i="4"/>
  <c r="K1649" i="4"/>
  <c r="P1648" i="4"/>
  <c r="O1648" i="4"/>
  <c r="L1648" i="4"/>
  <c r="K1648" i="4"/>
  <c r="P1647" i="4"/>
  <c r="O1647" i="4"/>
  <c r="L1647" i="4"/>
  <c r="K1647" i="4"/>
  <c r="P1646" i="4"/>
  <c r="O1646" i="4"/>
  <c r="L1646" i="4"/>
  <c r="K1646" i="4"/>
  <c r="G1646" i="4"/>
  <c r="P1645" i="4"/>
  <c r="O1645" i="4"/>
  <c r="L1645" i="4"/>
  <c r="K1645" i="4"/>
  <c r="H1645" i="4"/>
  <c r="G1645" i="4"/>
  <c r="P1644" i="4"/>
  <c r="O1644" i="4"/>
  <c r="L1644" i="4"/>
  <c r="K1644" i="4"/>
  <c r="H1644" i="4"/>
  <c r="G1644" i="4"/>
  <c r="P1643" i="4"/>
  <c r="O1643" i="4"/>
  <c r="L1643" i="4"/>
  <c r="K1643" i="4"/>
  <c r="H1643" i="4"/>
  <c r="G1643" i="4"/>
  <c r="P1642" i="4"/>
  <c r="O1642" i="4"/>
  <c r="L1642" i="4"/>
  <c r="K1642" i="4"/>
  <c r="H1642" i="4"/>
  <c r="G1642" i="4"/>
  <c r="P1641" i="4"/>
  <c r="O1641" i="4"/>
  <c r="L1641" i="4"/>
  <c r="K1641" i="4"/>
  <c r="H1641" i="4"/>
  <c r="G1641" i="4"/>
  <c r="P1640" i="4"/>
  <c r="O1640" i="4"/>
  <c r="L1640" i="4"/>
  <c r="K1640" i="4"/>
  <c r="H1640" i="4"/>
  <c r="G1640" i="4"/>
  <c r="P1639" i="4"/>
  <c r="O1639" i="4"/>
  <c r="L1639" i="4"/>
  <c r="K1639" i="4"/>
  <c r="H1639" i="4"/>
  <c r="G1639" i="4"/>
  <c r="P1638" i="4"/>
  <c r="O1638" i="4"/>
  <c r="L1638" i="4"/>
  <c r="K1638" i="4"/>
  <c r="H1638" i="4"/>
  <c r="G1638" i="4"/>
  <c r="P1637" i="4"/>
  <c r="O1637" i="4"/>
  <c r="L1637" i="4"/>
  <c r="K1637" i="4"/>
  <c r="H1637" i="4"/>
  <c r="G1637" i="4"/>
  <c r="P1636" i="4"/>
  <c r="O1636" i="4"/>
  <c r="L1636" i="4"/>
  <c r="K1636" i="4"/>
  <c r="H1636" i="4"/>
  <c r="G1636" i="4"/>
  <c r="P1635" i="4"/>
  <c r="O1635" i="4"/>
  <c r="L1635" i="4"/>
  <c r="K1635" i="4"/>
  <c r="H1635" i="4"/>
  <c r="G1635" i="4"/>
  <c r="P1634" i="4"/>
  <c r="O1634" i="4"/>
  <c r="L1634" i="4"/>
  <c r="K1634" i="4"/>
  <c r="H1634" i="4"/>
  <c r="G1634" i="4"/>
  <c r="P1633" i="4"/>
  <c r="O1633" i="4"/>
  <c r="L1633" i="4"/>
  <c r="K1633" i="4"/>
  <c r="H1633" i="4"/>
  <c r="G1633" i="4"/>
  <c r="F1633" i="4"/>
  <c r="P1632" i="4"/>
  <c r="O1632" i="4"/>
  <c r="L1632" i="4"/>
  <c r="K1632" i="4"/>
  <c r="H1632" i="4"/>
  <c r="G1632" i="4"/>
  <c r="F1632" i="4"/>
  <c r="P1631" i="4"/>
  <c r="O1631" i="4"/>
  <c r="L1631" i="4"/>
  <c r="K1631" i="4"/>
  <c r="H1631" i="4"/>
  <c r="G1631" i="4"/>
  <c r="F1631" i="4"/>
  <c r="P1630" i="4"/>
  <c r="O1630" i="4"/>
  <c r="L1630" i="4"/>
  <c r="K1630" i="4"/>
  <c r="H1630" i="4"/>
  <c r="G1630" i="4"/>
  <c r="F1630" i="4"/>
  <c r="P1629" i="4"/>
  <c r="O1629" i="4"/>
  <c r="L1629" i="4"/>
  <c r="K1629" i="4"/>
  <c r="H1629" i="4"/>
  <c r="G1629" i="4"/>
  <c r="F1629" i="4"/>
  <c r="P1628" i="4"/>
  <c r="O1628" i="4"/>
  <c r="L1628" i="4"/>
  <c r="K1628" i="4"/>
  <c r="H1628" i="4"/>
  <c r="G1628" i="4"/>
  <c r="F1628" i="4"/>
  <c r="E1628" i="4"/>
  <c r="P1627" i="4"/>
  <c r="O1627" i="4"/>
  <c r="L1627" i="4"/>
  <c r="K1627" i="4"/>
  <c r="I1627" i="4"/>
  <c r="H1627" i="4"/>
  <c r="G1627" i="4"/>
  <c r="F1627" i="4"/>
  <c r="E1627" i="4"/>
  <c r="P1626" i="4"/>
  <c r="O1626" i="4"/>
  <c r="L1626" i="4"/>
  <c r="K1626" i="4"/>
  <c r="I1626" i="4"/>
  <c r="H1626" i="4"/>
  <c r="G1626" i="4"/>
  <c r="F1626" i="4"/>
  <c r="E1626" i="4"/>
  <c r="P1625" i="4"/>
  <c r="O1625" i="4"/>
  <c r="L1625" i="4"/>
  <c r="K1625" i="4"/>
  <c r="I1625" i="4"/>
  <c r="H1625" i="4"/>
  <c r="G1625" i="4"/>
  <c r="F1625" i="4"/>
  <c r="E1625" i="4"/>
  <c r="P1624" i="4"/>
  <c r="O1624" i="4"/>
  <c r="L1624" i="4"/>
  <c r="K1624" i="4"/>
  <c r="I1624" i="4"/>
  <c r="H1624" i="4"/>
  <c r="G1624" i="4"/>
  <c r="F1624" i="4"/>
  <c r="E1624" i="4"/>
  <c r="P1623" i="4"/>
  <c r="O1623" i="4"/>
  <c r="L1623" i="4"/>
  <c r="K1623" i="4"/>
  <c r="I1623" i="4"/>
  <c r="H1623" i="4"/>
  <c r="G1623" i="4"/>
  <c r="F1623" i="4"/>
  <c r="E1623" i="4"/>
  <c r="P1622" i="4"/>
  <c r="O1622" i="4"/>
  <c r="L1622" i="4"/>
  <c r="K1622" i="4"/>
  <c r="I1622" i="4"/>
  <c r="H1622" i="4"/>
  <c r="G1622" i="4"/>
  <c r="F1622" i="4"/>
  <c r="E1622" i="4"/>
  <c r="B1622" i="4"/>
  <c r="U1503" i="4"/>
  <c r="U1502" i="4"/>
  <c r="U1500" i="4"/>
  <c r="U1499" i="4"/>
  <c r="U1497" i="4"/>
  <c r="U1496" i="4"/>
  <c r="U1494" i="4"/>
  <c r="U1493" i="4"/>
  <c r="U1491" i="4"/>
  <c r="U1490" i="4"/>
  <c r="P1465" i="4"/>
  <c r="O1465" i="4"/>
  <c r="L1465" i="4"/>
  <c r="K1465" i="4"/>
  <c r="P1464" i="4"/>
  <c r="O1464" i="4"/>
  <c r="L1464" i="4"/>
  <c r="K1464" i="4"/>
  <c r="P1463" i="4"/>
  <c r="O1463" i="4"/>
  <c r="L1463" i="4"/>
  <c r="K1463" i="4"/>
  <c r="P1462" i="4"/>
  <c r="O1462" i="4"/>
  <c r="L1462" i="4"/>
  <c r="K1462" i="4"/>
  <c r="P1461" i="4"/>
  <c r="O1461" i="4"/>
  <c r="L1461" i="4"/>
  <c r="K1461" i="4"/>
  <c r="P1460" i="4"/>
  <c r="O1460" i="4"/>
  <c r="L1460" i="4"/>
  <c r="K1460" i="4"/>
  <c r="P1459" i="4"/>
  <c r="O1459" i="4"/>
  <c r="L1459" i="4"/>
  <c r="K1459" i="4"/>
  <c r="P1458" i="4"/>
  <c r="O1458" i="4"/>
  <c r="L1458" i="4"/>
  <c r="K1458" i="4"/>
  <c r="P1457" i="4"/>
  <c r="O1457" i="4"/>
  <c r="L1457" i="4"/>
  <c r="K1457" i="4"/>
  <c r="P1456" i="4"/>
  <c r="O1456" i="4"/>
  <c r="L1456" i="4"/>
  <c r="K1456" i="4"/>
  <c r="P1455" i="4"/>
  <c r="O1455" i="4"/>
  <c r="L1455" i="4"/>
  <c r="K1455" i="4"/>
  <c r="P1454" i="4"/>
  <c r="O1454" i="4"/>
  <c r="L1454" i="4"/>
  <c r="K1454" i="4"/>
  <c r="P1453" i="4"/>
  <c r="O1453" i="4"/>
  <c r="L1453" i="4"/>
  <c r="K1453" i="4"/>
  <c r="P1452" i="4"/>
  <c r="O1452" i="4"/>
  <c r="L1452" i="4"/>
  <c r="K1452" i="4"/>
  <c r="P1451" i="4"/>
  <c r="O1451" i="4"/>
  <c r="L1451" i="4"/>
  <c r="K1451" i="4"/>
  <c r="P1450" i="4"/>
  <c r="O1450" i="4"/>
  <c r="L1450" i="4"/>
  <c r="K1450" i="4"/>
  <c r="P1449" i="4"/>
  <c r="O1449" i="4"/>
  <c r="L1449" i="4"/>
  <c r="K1449" i="4"/>
  <c r="P1448" i="4"/>
  <c r="O1448" i="4"/>
  <c r="L1448" i="4"/>
  <c r="K1448" i="4"/>
  <c r="P1447" i="4"/>
  <c r="O1447" i="4"/>
  <c r="L1447" i="4"/>
  <c r="K1447" i="4"/>
  <c r="P1446" i="4"/>
  <c r="O1446" i="4"/>
  <c r="L1446" i="4"/>
  <c r="K1446" i="4"/>
  <c r="P1445" i="4"/>
  <c r="O1445" i="4"/>
  <c r="L1445" i="4"/>
  <c r="K1445" i="4"/>
  <c r="P1444" i="4"/>
  <c r="O1444" i="4"/>
  <c r="L1444" i="4"/>
  <c r="K1444" i="4"/>
  <c r="P1443" i="4"/>
  <c r="O1443" i="4"/>
  <c r="L1443" i="4"/>
  <c r="K1443" i="4"/>
  <c r="P1442" i="4"/>
  <c r="O1442" i="4"/>
  <c r="L1442" i="4"/>
  <c r="K1442" i="4"/>
  <c r="P1441" i="4"/>
  <c r="O1441" i="4"/>
  <c r="L1441" i="4"/>
  <c r="K1441" i="4"/>
  <c r="P1440" i="4"/>
  <c r="O1440" i="4"/>
  <c r="L1440" i="4"/>
  <c r="K1440" i="4"/>
  <c r="P1439" i="4"/>
  <c r="O1439" i="4"/>
  <c r="L1439" i="4"/>
  <c r="K1439" i="4"/>
  <c r="P1438" i="4"/>
  <c r="O1438" i="4"/>
  <c r="L1438" i="4"/>
  <c r="K1438" i="4"/>
  <c r="P1437" i="4"/>
  <c r="O1437" i="4"/>
  <c r="L1437" i="4"/>
  <c r="K1437" i="4"/>
  <c r="P1436" i="4"/>
  <c r="O1436" i="4"/>
  <c r="L1436" i="4"/>
  <c r="K1436" i="4"/>
  <c r="P1435" i="4"/>
  <c r="O1435" i="4"/>
  <c r="L1435" i="4"/>
  <c r="K1435" i="4"/>
  <c r="P1434" i="4"/>
  <c r="O1434" i="4"/>
  <c r="L1434" i="4"/>
  <c r="K1434" i="4"/>
  <c r="P1433" i="4"/>
  <c r="O1433" i="4"/>
  <c r="L1433" i="4"/>
  <c r="K1433" i="4"/>
  <c r="P1432" i="4"/>
  <c r="O1432" i="4"/>
  <c r="L1432" i="4"/>
  <c r="K1432" i="4"/>
  <c r="P1431" i="4"/>
  <c r="O1431" i="4"/>
  <c r="L1431" i="4"/>
  <c r="K1431" i="4"/>
  <c r="P1430" i="4"/>
  <c r="O1430" i="4"/>
  <c r="L1430" i="4"/>
  <c r="K1430" i="4"/>
  <c r="P1429" i="4"/>
  <c r="O1429" i="4"/>
  <c r="L1429" i="4"/>
  <c r="K1429" i="4"/>
  <c r="P1428" i="4"/>
  <c r="O1428" i="4"/>
  <c r="L1428" i="4"/>
  <c r="K1428" i="4"/>
  <c r="P1427" i="4"/>
  <c r="O1427" i="4"/>
  <c r="L1427" i="4"/>
  <c r="K1427" i="4"/>
  <c r="P1426" i="4"/>
  <c r="O1426" i="4"/>
  <c r="L1426" i="4"/>
  <c r="K1426" i="4"/>
  <c r="P1425" i="4"/>
  <c r="O1425" i="4"/>
  <c r="L1425" i="4"/>
  <c r="K1425" i="4"/>
  <c r="P1424" i="4"/>
  <c r="O1424" i="4"/>
  <c r="L1424" i="4"/>
  <c r="K1424" i="4"/>
  <c r="P1423" i="4"/>
  <c r="O1423" i="4"/>
  <c r="L1423" i="4"/>
  <c r="K1423" i="4"/>
  <c r="P1422" i="4"/>
  <c r="O1422" i="4"/>
  <c r="L1422" i="4"/>
  <c r="K1422" i="4"/>
  <c r="P1421" i="4"/>
  <c r="O1421" i="4"/>
  <c r="L1421" i="4"/>
  <c r="K1421" i="4"/>
  <c r="P1420" i="4"/>
  <c r="O1420" i="4"/>
  <c r="L1420" i="4"/>
  <c r="K1420" i="4"/>
  <c r="P1419" i="4"/>
  <c r="O1419" i="4"/>
  <c r="L1419" i="4"/>
  <c r="K1419" i="4"/>
  <c r="P1418" i="4"/>
  <c r="O1418" i="4"/>
  <c r="L1418" i="4"/>
  <c r="K1418" i="4"/>
  <c r="P1417" i="4"/>
  <c r="O1417" i="4"/>
  <c r="L1417" i="4"/>
  <c r="K1417" i="4"/>
  <c r="P1416" i="4"/>
  <c r="O1416" i="4"/>
  <c r="L1416" i="4"/>
  <c r="K1416" i="4"/>
  <c r="G1416" i="4"/>
  <c r="P1415" i="4"/>
  <c r="O1415" i="4"/>
  <c r="L1415" i="4"/>
  <c r="K1415" i="4"/>
  <c r="H1415" i="4"/>
  <c r="G1415" i="4"/>
  <c r="P1414" i="4"/>
  <c r="O1414" i="4"/>
  <c r="L1414" i="4"/>
  <c r="K1414" i="4"/>
  <c r="H1414" i="4"/>
  <c r="G1414" i="4"/>
  <c r="P1413" i="4"/>
  <c r="O1413" i="4"/>
  <c r="L1413" i="4"/>
  <c r="K1413" i="4"/>
  <c r="H1413" i="4"/>
  <c r="G1413" i="4"/>
  <c r="P1412" i="4"/>
  <c r="O1412" i="4"/>
  <c r="L1412" i="4"/>
  <c r="K1412" i="4"/>
  <c r="H1412" i="4"/>
  <c r="G1412" i="4"/>
  <c r="P1411" i="4"/>
  <c r="O1411" i="4"/>
  <c r="L1411" i="4"/>
  <c r="K1411" i="4"/>
  <c r="H1411" i="4"/>
  <c r="G1411" i="4"/>
  <c r="P1410" i="4"/>
  <c r="O1410" i="4"/>
  <c r="L1410" i="4"/>
  <c r="K1410" i="4"/>
  <c r="H1410" i="4"/>
  <c r="G1410" i="4"/>
  <c r="P1409" i="4"/>
  <c r="O1409" i="4"/>
  <c r="L1409" i="4"/>
  <c r="K1409" i="4"/>
  <c r="H1409" i="4"/>
  <c r="G1409" i="4"/>
  <c r="P1408" i="4"/>
  <c r="O1408" i="4"/>
  <c r="L1408" i="4"/>
  <c r="K1408" i="4"/>
  <c r="H1408" i="4"/>
  <c r="G1408" i="4"/>
  <c r="P1407" i="4"/>
  <c r="O1407" i="4"/>
  <c r="L1407" i="4"/>
  <c r="K1407" i="4"/>
  <c r="H1407" i="4"/>
  <c r="G1407" i="4"/>
  <c r="P1406" i="4"/>
  <c r="O1406" i="4"/>
  <c r="L1406" i="4"/>
  <c r="K1406" i="4"/>
  <c r="H1406" i="4"/>
  <c r="G1406" i="4"/>
  <c r="P1405" i="4"/>
  <c r="O1405" i="4"/>
  <c r="L1405" i="4"/>
  <c r="K1405" i="4"/>
  <c r="H1405" i="4"/>
  <c r="G1405" i="4"/>
  <c r="P1404" i="4"/>
  <c r="O1404" i="4"/>
  <c r="L1404" i="4"/>
  <c r="K1404" i="4"/>
  <c r="H1404" i="4"/>
  <c r="G1404" i="4"/>
  <c r="P1403" i="4"/>
  <c r="O1403" i="4"/>
  <c r="L1403" i="4"/>
  <c r="K1403" i="4"/>
  <c r="H1403" i="4"/>
  <c r="G1403" i="4"/>
  <c r="F1403" i="4"/>
  <c r="P1402" i="4"/>
  <c r="O1402" i="4"/>
  <c r="L1402" i="4"/>
  <c r="K1402" i="4"/>
  <c r="H1402" i="4"/>
  <c r="G1402" i="4"/>
  <c r="F1402" i="4"/>
  <c r="P1401" i="4"/>
  <c r="O1401" i="4"/>
  <c r="L1401" i="4"/>
  <c r="K1401" i="4"/>
  <c r="H1401" i="4"/>
  <c r="G1401" i="4"/>
  <c r="F1401" i="4"/>
  <c r="P1400" i="4"/>
  <c r="O1400" i="4"/>
  <c r="L1400" i="4"/>
  <c r="K1400" i="4"/>
  <c r="H1400" i="4"/>
  <c r="G1400" i="4"/>
  <c r="F1400" i="4"/>
  <c r="P1399" i="4"/>
  <c r="O1399" i="4"/>
  <c r="L1399" i="4"/>
  <c r="K1399" i="4"/>
  <c r="H1399" i="4"/>
  <c r="G1399" i="4"/>
  <c r="F1399" i="4"/>
  <c r="P1398" i="4"/>
  <c r="O1398" i="4"/>
  <c r="L1398" i="4"/>
  <c r="K1398" i="4"/>
  <c r="H1398" i="4"/>
  <c r="G1398" i="4"/>
  <c r="F1398" i="4"/>
  <c r="E1398" i="4"/>
  <c r="P1397" i="4"/>
  <c r="O1397" i="4"/>
  <c r="L1397" i="4"/>
  <c r="K1397" i="4"/>
  <c r="I1397" i="4"/>
  <c r="H1397" i="4"/>
  <c r="G1397" i="4"/>
  <c r="F1397" i="4"/>
  <c r="E1397" i="4"/>
  <c r="P1396" i="4"/>
  <c r="O1396" i="4"/>
  <c r="L1396" i="4"/>
  <c r="K1396" i="4"/>
  <c r="I1396" i="4"/>
  <c r="H1396" i="4"/>
  <c r="G1396" i="4"/>
  <c r="F1396" i="4"/>
  <c r="E1396" i="4"/>
  <c r="P1395" i="4"/>
  <c r="O1395" i="4"/>
  <c r="L1395" i="4"/>
  <c r="K1395" i="4"/>
  <c r="I1395" i="4"/>
  <c r="H1395" i="4"/>
  <c r="G1395" i="4"/>
  <c r="F1395" i="4"/>
  <c r="E1395" i="4"/>
  <c r="P1394" i="4"/>
  <c r="O1394" i="4"/>
  <c r="L1394" i="4"/>
  <c r="K1394" i="4"/>
  <c r="I1394" i="4"/>
  <c r="H1394" i="4"/>
  <c r="G1394" i="4"/>
  <c r="F1394" i="4"/>
  <c r="E1394" i="4"/>
  <c r="P1393" i="4"/>
  <c r="O1393" i="4"/>
  <c r="L1393" i="4"/>
  <c r="K1393" i="4"/>
  <c r="I1393" i="4"/>
  <c r="H1393" i="4"/>
  <c r="G1393" i="4"/>
  <c r="F1393" i="4"/>
  <c r="E1393" i="4"/>
  <c r="P1392" i="4"/>
  <c r="O1392" i="4"/>
  <c r="L1392" i="4"/>
  <c r="K1392" i="4"/>
  <c r="I1392" i="4"/>
  <c r="H1392" i="4"/>
  <c r="G1392" i="4"/>
  <c r="F1392" i="4"/>
  <c r="E1392" i="4"/>
  <c r="B1392" i="4"/>
  <c r="U1273" i="4"/>
  <c r="U1272" i="4"/>
  <c r="U1270" i="4"/>
  <c r="U1269" i="4"/>
  <c r="U1267" i="4"/>
  <c r="U1266" i="4"/>
  <c r="U1264" i="4"/>
  <c r="U1263" i="4"/>
  <c r="U1261" i="4"/>
  <c r="U1260" i="4"/>
  <c r="P1235" i="4"/>
  <c r="O1235" i="4"/>
  <c r="L1235" i="4"/>
  <c r="K1235" i="4"/>
  <c r="P1234" i="4"/>
  <c r="O1234" i="4"/>
  <c r="L1234" i="4"/>
  <c r="K1234" i="4"/>
  <c r="P1233" i="4"/>
  <c r="O1233" i="4"/>
  <c r="L1233" i="4"/>
  <c r="K1233" i="4"/>
  <c r="P1232" i="4"/>
  <c r="O1232" i="4"/>
  <c r="L1232" i="4"/>
  <c r="K1232" i="4"/>
  <c r="P1231" i="4"/>
  <c r="O1231" i="4"/>
  <c r="L1231" i="4"/>
  <c r="K1231" i="4"/>
  <c r="P1230" i="4"/>
  <c r="O1230" i="4"/>
  <c r="L1230" i="4"/>
  <c r="K1230" i="4"/>
  <c r="P1229" i="4"/>
  <c r="O1229" i="4"/>
  <c r="L1229" i="4"/>
  <c r="K1229" i="4"/>
  <c r="P1228" i="4"/>
  <c r="O1228" i="4"/>
  <c r="L1228" i="4"/>
  <c r="K1228" i="4"/>
  <c r="P1227" i="4"/>
  <c r="O1227" i="4"/>
  <c r="L1227" i="4"/>
  <c r="K1227" i="4"/>
  <c r="P1226" i="4"/>
  <c r="O1226" i="4"/>
  <c r="L1226" i="4"/>
  <c r="K1226" i="4"/>
  <c r="P1225" i="4"/>
  <c r="O1225" i="4"/>
  <c r="L1225" i="4"/>
  <c r="K1225" i="4"/>
  <c r="P1224" i="4"/>
  <c r="O1224" i="4"/>
  <c r="L1224" i="4"/>
  <c r="K1224" i="4"/>
  <c r="P1223" i="4"/>
  <c r="O1223" i="4"/>
  <c r="L1223" i="4"/>
  <c r="K1223" i="4"/>
  <c r="P1222" i="4"/>
  <c r="O1222" i="4"/>
  <c r="L1222" i="4"/>
  <c r="K1222" i="4"/>
  <c r="P1221" i="4"/>
  <c r="O1221" i="4"/>
  <c r="L1221" i="4"/>
  <c r="K1221" i="4"/>
  <c r="P1220" i="4"/>
  <c r="O1220" i="4"/>
  <c r="L1220" i="4"/>
  <c r="K1220" i="4"/>
  <c r="P1219" i="4"/>
  <c r="O1219" i="4"/>
  <c r="L1219" i="4"/>
  <c r="K1219" i="4"/>
  <c r="P1218" i="4"/>
  <c r="O1218" i="4"/>
  <c r="L1218" i="4"/>
  <c r="K1218" i="4"/>
  <c r="P1217" i="4"/>
  <c r="O1217" i="4"/>
  <c r="L1217" i="4"/>
  <c r="K1217" i="4"/>
  <c r="P1216" i="4"/>
  <c r="O1216" i="4"/>
  <c r="L1216" i="4"/>
  <c r="K1216" i="4"/>
  <c r="P1215" i="4"/>
  <c r="O1215" i="4"/>
  <c r="L1215" i="4"/>
  <c r="K1215" i="4"/>
  <c r="P1214" i="4"/>
  <c r="O1214" i="4"/>
  <c r="L1214" i="4"/>
  <c r="K1214" i="4"/>
  <c r="P1213" i="4"/>
  <c r="O1213" i="4"/>
  <c r="L1213" i="4"/>
  <c r="K1213" i="4"/>
  <c r="P1212" i="4"/>
  <c r="O1212" i="4"/>
  <c r="L1212" i="4"/>
  <c r="K1212" i="4"/>
  <c r="P1211" i="4"/>
  <c r="O1211" i="4"/>
  <c r="L1211" i="4"/>
  <c r="K1211" i="4"/>
  <c r="P1210" i="4"/>
  <c r="O1210" i="4"/>
  <c r="L1210" i="4"/>
  <c r="K1210" i="4"/>
  <c r="P1209" i="4"/>
  <c r="O1209" i="4"/>
  <c r="L1209" i="4"/>
  <c r="K1209" i="4"/>
  <c r="P1208" i="4"/>
  <c r="O1208" i="4"/>
  <c r="L1208" i="4"/>
  <c r="K1208" i="4"/>
  <c r="P1207" i="4"/>
  <c r="O1207" i="4"/>
  <c r="L1207" i="4"/>
  <c r="K1207" i="4"/>
  <c r="P1206" i="4"/>
  <c r="O1206" i="4"/>
  <c r="L1206" i="4"/>
  <c r="K1206" i="4"/>
  <c r="P1205" i="4"/>
  <c r="O1205" i="4"/>
  <c r="L1205" i="4"/>
  <c r="K1205" i="4"/>
  <c r="P1204" i="4"/>
  <c r="O1204" i="4"/>
  <c r="L1204" i="4"/>
  <c r="K1204" i="4"/>
  <c r="P1203" i="4"/>
  <c r="O1203" i="4"/>
  <c r="L1203" i="4"/>
  <c r="K1203" i="4"/>
  <c r="P1202" i="4"/>
  <c r="O1202" i="4"/>
  <c r="L1202" i="4"/>
  <c r="K1202" i="4"/>
  <c r="P1201" i="4"/>
  <c r="O1201" i="4"/>
  <c r="L1201" i="4"/>
  <c r="K1201" i="4"/>
  <c r="P1200" i="4"/>
  <c r="O1200" i="4"/>
  <c r="L1200" i="4"/>
  <c r="K1200" i="4"/>
  <c r="P1199" i="4"/>
  <c r="O1199" i="4"/>
  <c r="L1199" i="4"/>
  <c r="K1199" i="4"/>
  <c r="P1198" i="4"/>
  <c r="O1198" i="4"/>
  <c r="L1198" i="4"/>
  <c r="K1198" i="4"/>
  <c r="P1197" i="4"/>
  <c r="O1197" i="4"/>
  <c r="L1197" i="4"/>
  <c r="K1197" i="4"/>
  <c r="P1196" i="4"/>
  <c r="O1196" i="4"/>
  <c r="L1196" i="4"/>
  <c r="K1196" i="4"/>
  <c r="P1195" i="4"/>
  <c r="O1195" i="4"/>
  <c r="L1195" i="4"/>
  <c r="K1195" i="4"/>
  <c r="P1194" i="4"/>
  <c r="O1194" i="4"/>
  <c r="L1194" i="4"/>
  <c r="K1194" i="4"/>
  <c r="P1193" i="4"/>
  <c r="O1193" i="4"/>
  <c r="L1193" i="4"/>
  <c r="K1193" i="4"/>
  <c r="P1192" i="4"/>
  <c r="O1192" i="4"/>
  <c r="L1192" i="4"/>
  <c r="K1192" i="4"/>
  <c r="P1191" i="4"/>
  <c r="O1191" i="4"/>
  <c r="L1191" i="4"/>
  <c r="K1191" i="4"/>
  <c r="P1190" i="4"/>
  <c r="O1190" i="4"/>
  <c r="L1190" i="4"/>
  <c r="K1190" i="4"/>
  <c r="P1189" i="4"/>
  <c r="O1189" i="4"/>
  <c r="L1189" i="4"/>
  <c r="K1189" i="4"/>
  <c r="P1188" i="4"/>
  <c r="O1188" i="4"/>
  <c r="L1188" i="4"/>
  <c r="K1188" i="4"/>
  <c r="P1187" i="4"/>
  <c r="O1187" i="4"/>
  <c r="L1187" i="4"/>
  <c r="K1187" i="4"/>
  <c r="P1186" i="4"/>
  <c r="O1186" i="4"/>
  <c r="L1186" i="4"/>
  <c r="K1186" i="4"/>
  <c r="G1186" i="4"/>
  <c r="P1185" i="4"/>
  <c r="O1185" i="4"/>
  <c r="L1185" i="4"/>
  <c r="K1185" i="4"/>
  <c r="H1185" i="4"/>
  <c r="G1185" i="4"/>
  <c r="P1184" i="4"/>
  <c r="O1184" i="4"/>
  <c r="L1184" i="4"/>
  <c r="K1184" i="4"/>
  <c r="H1184" i="4"/>
  <c r="G1184" i="4"/>
  <c r="P1183" i="4"/>
  <c r="O1183" i="4"/>
  <c r="L1183" i="4"/>
  <c r="K1183" i="4"/>
  <c r="H1183" i="4"/>
  <c r="G1183" i="4"/>
  <c r="P1182" i="4"/>
  <c r="O1182" i="4"/>
  <c r="L1182" i="4"/>
  <c r="K1182" i="4"/>
  <c r="H1182" i="4"/>
  <c r="G1182" i="4"/>
  <c r="P1181" i="4"/>
  <c r="O1181" i="4"/>
  <c r="L1181" i="4"/>
  <c r="K1181" i="4"/>
  <c r="H1181" i="4"/>
  <c r="G1181" i="4"/>
  <c r="P1180" i="4"/>
  <c r="O1180" i="4"/>
  <c r="L1180" i="4"/>
  <c r="K1180" i="4"/>
  <c r="H1180" i="4"/>
  <c r="G1180" i="4"/>
  <c r="P1179" i="4"/>
  <c r="O1179" i="4"/>
  <c r="L1179" i="4"/>
  <c r="K1179" i="4"/>
  <c r="H1179" i="4"/>
  <c r="G1179" i="4"/>
  <c r="P1178" i="4"/>
  <c r="O1178" i="4"/>
  <c r="L1178" i="4"/>
  <c r="K1178" i="4"/>
  <c r="H1178" i="4"/>
  <c r="G1178" i="4"/>
  <c r="P1177" i="4"/>
  <c r="O1177" i="4"/>
  <c r="L1177" i="4"/>
  <c r="K1177" i="4"/>
  <c r="H1177" i="4"/>
  <c r="G1177" i="4"/>
  <c r="P1176" i="4"/>
  <c r="O1176" i="4"/>
  <c r="L1176" i="4"/>
  <c r="K1176" i="4"/>
  <c r="H1176" i="4"/>
  <c r="G1176" i="4"/>
  <c r="P1175" i="4"/>
  <c r="O1175" i="4"/>
  <c r="L1175" i="4"/>
  <c r="K1175" i="4"/>
  <c r="H1175" i="4"/>
  <c r="G1175" i="4"/>
  <c r="P1174" i="4"/>
  <c r="O1174" i="4"/>
  <c r="L1174" i="4"/>
  <c r="K1174" i="4"/>
  <c r="H1174" i="4"/>
  <c r="G1174" i="4"/>
  <c r="P1173" i="4"/>
  <c r="O1173" i="4"/>
  <c r="L1173" i="4"/>
  <c r="K1173" i="4"/>
  <c r="H1173" i="4"/>
  <c r="G1173" i="4"/>
  <c r="F1173" i="4"/>
  <c r="P1172" i="4"/>
  <c r="O1172" i="4"/>
  <c r="L1172" i="4"/>
  <c r="K1172" i="4"/>
  <c r="H1172" i="4"/>
  <c r="G1172" i="4"/>
  <c r="F1172" i="4"/>
  <c r="P1171" i="4"/>
  <c r="O1171" i="4"/>
  <c r="L1171" i="4"/>
  <c r="K1171" i="4"/>
  <c r="H1171" i="4"/>
  <c r="G1171" i="4"/>
  <c r="F1171" i="4"/>
  <c r="P1170" i="4"/>
  <c r="O1170" i="4"/>
  <c r="L1170" i="4"/>
  <c r="K1170" i="4"/>
  <c r="H1170" i="4"/>
  <c r="G1170" i="4"/>
  <c r="F1170" i="4"/>
  <c r="P1169" i="4"/>
  <c r="O1169" i="4"/>
  <c r="L1169" i="4"/>
  <c r="K1169" i="4"/>
  <c r="H1169" i="4"/>
  <c r="G1169" i="4"/>
  <c r="F1169" i="4"/>
  <c r="P1168" i="4"/>
  <c r="O1168" i="4"/>
  <c r="L1168" i="4"/>
  <c r="K1168" i="4"/>
  <c r="H1168" i="4"/>
  <c r="G1168" i="4"/>
  <c r="F1168" i="4"/>
  <c r="E1168" i="4"/>
  <c r="P1167" i="4"/>
  <c r="O1167" i="4"/>
  <c r="L1167" i="4"/>
  <c r="K1167" i="4"/>
  <c r="I1167" i="4"/>
  <c r="H1167" i="4"/>
  <c r="G1167" i="4"/>
  <c r="F1167" i="4"/>
  <c r="E1167" i="4"/>
  <c r="P1166" i="4"/>
  <c r="O1166" i="4"/>
  <c r="L1166" i="4"/>
  <c r="K1166" i="4"/>
  <c r="I1166" i="4"/>
  <c r="H1166" i="4"/>
  <c r="G1166" i="4"/>
  <c r="F1166" i="4"/>
  <c r="E1166" i="4"/>
  <c r="P1165" i="4"/>
  <c r="O1165" i="4"/>
  <c r="L1165" i="4"/>
  <c r="K1165" i="4"/>
  <c r="I1165" i="4"/>
  <c r="H1165" i="4"/>
  <c r="G1165" i="4"/>
  <c r="F1165" i="4"/>
  <c r="E1165" i="4"/>
  <c r="P1164" i="4"/>
  <c r="O1164" i="4"/>
  <c r="L1164" i="4"/>
  <c r="K1164" i="4"/>
  <c r="I1164" i="4"/>
  <c r="H1164" i="4"/>
  <c r="G1164" i="4"/>
  <c r="F1164" i="4"/>
  <c r="E1164" i="4"/>
  <c r="P1163" i="4"/>
  <c r="O1163" i="4"/>
  <c r="L1163" i="4"/>
  <c r="K1163" i="4"/>
  <c r="I1163" i="4"/>
  <c r="H1163" i="4"/>
  <c r="G1163" i="4"/>
  <c r="F1163" i="4"/>
  <c r="E1163" i="4"/>
  <c r="P1162" i="4"/>
  <c r="O1162" i="4"/>
  <c r="L1162" i="4"/>
  <c r="K1162" i="4"/>
  <c r="I1162" i="4"/>
  <c r="H1162" i="4"/>
  <c r="G1162" i="4"/>
  <c r="F1162" i="4"/>
  <c r="E1162" i="4"/>
  <c r="B1162" i="4"/>
  <c r="U1043" i="4"/>
  <c r="U1042" i="4"/>
  <c r="U1040" i="4"/>
  <c r="U1039" i="4"/>
  <c r="U1037" i="4"/>
  <c r="U1036" i="4"/>
  <c r="U1034" i="4"/>
  <c r="U1033" i="4"/>
  <c r="U1031" i="4"/>
  <c r="U1030" i="4"/>
  <c r="P1005" i="4"/>
  <c r="O1005" i="4"/>
  <c r="L1005" i="4"/>
  <c r="K1005" i="4"/>
  <c r="P1004" i="4"/>
  <c r="O1004" i="4"/>
  <c r="L1004" i="4"/>
  <c r="K1004" i="4"/>
  <c r="P1003" i="4"/>
  <c r="O1003" i="4"/>
  <c r="L1003" i="4"/>
  <c r="K1003" i="4"/>
  <c r="P1002" i="4"/>
  <c r="O1002" i="4"/>
  <c r="L1002" i="4"/>
  <c r="K1002" i="4"/>
  <c r="P1001" i="4"/>
  <c r="O1001" i="4"/>
  <c r="L1001" i="4"/>
  <c r="K1001" i="4"/>
  <c r="P1000" i="4"/>
  <c r="O1000" i="4"/>
  <c r="L1000" i="4"/>
  <c r="K1000" i="4"/>
  <c r="P999" i="4"/>
  <c r="O999" i="4"/>
  <c r="L999" i="4"/>
  <c r="K999" i="4"/>
  <c r="P998" i="4"/>
  <c r="O998" i="4"/>
  <c r="L998" i="4"/>
  <c r="K998" i="4"/>
  <c r="P997" i="4"/>
  <c r="O997" i="4"/>
  <c r="L997" i="4"/>
  <c r="K997" i="4"/>
  <c r="P996" i="4"/>
  <c r="O996" i="4"/>
  <c r="L996" i="4"/>
  <c r="K996" i="4"/>
  <c r="P995" i="4"/>
  <c r="O995" i="4"/>
  <c r="L995" i="4"/>
  <c r="K995" i="4"/>
  <c r="P994" i="4"/>
  <c r="O994" i="4"/>
  <c r="L994" i="4"/>
  <c r="K994" i="4"/>
  <c r="P993" i="4"/>
  <c r="O993" i="4"/>
  <c r="L993" i="4"/>
  <c r="K993" i="4"/>
  <c r="P992" i="4"/>
  <c r="O992" i="4"/>
  <c r="L992" i="4"/>
  <c r="K992" i="4"/>
  <c r="P991" i="4"/>
  <c r="O991" i="4"/>
  <c r="L991" i="4"/>
  <c r="K991" i="4"/>
  <c r="P990" i="4"/>
  <c r="O990" i="4"/>
  <c r="L990" i="4"/>
  <c r="K990" i="4"/>
  <c r="P989" i="4"/>
  <c r="O989" i="4"/>
  <c r="L989" i="4"/>
  <c r="K989" i="4"/>
  <c r="P988" i="4"/>
  <c r="O988" i="4"/>
  <c r="L988" i="4"/>
  <c r="K988" i="4"/>
  <c r="P987" i="4"/>
  <c r="O987" i="4"/>
  <c r="L987" i="4"/>
  <c r="K987" i="4"/>
  <c r="P986" i="4"/>
  <c r="O986" i="4"/>
  <c r="L986" i="4"/>
  <c r="K986" i="4"/>
  <c r="P985" i="4"/>
  <c r="O985" i="4"/>
  <c r="L985" i="4"/>
  <c r="K985" i="4"/>
  <c r="P984" i="4"/>
  <c r="O984" i="4"/>
  <c r="L984" i="4"/>
  <c r="K984" i="4"/>
  <c r="P983" i="4"/>
  <c r="O983" i="4"/>
  <c r="L983" i="4"/>
  <c r="K983" i="4"/>
  <c r="P982" i="4"/>
  <c r="O982" i="4"/>
  <c r="L982" i="4"/>
  <c r="K982" i="4"/>
  <c r="P981" i="4"/>
  <c r="O981" i="4"/>
  <c r="L981" i="4"/>
  <c r="K981" i="4"/>
  <c r="P980" i="4"/>
  <c r="O980" i="4"/>
  <c r="L980" i="4"/>
  <c r="K980" i="4"/>
  <c r="P979" i="4"/>
  <c r="O979" i="4"/>
  <c r="L979" i="4"/>
  <c r="K979" i="4"/>
  <c r="P978" i="4"/>
  <c r="O978" i="4"/>
  <c r="L978" i="4"/>
  <c r="K978" i="4"/>
  <c r="P977" i="4"/>
  <c r="O977" i="4"/>
  <c r="L977" i="4"/>
  <c r="K977" i="4"/>
  <c r="P976" i="4"/>
  <c r="O976" i="4"/>
  <c r="L976" i="4"/>
  <c r="K976" i="4"/>
  <c r="P975" i="4"/>
  <c r="O975" i="4"/>
  <c r="L975" i="4"/>
  <c r="K975" i="4"/>
  <c r="P974" i="4"/>
  <c r="O974" i="4"/>
  <c r="L974" i="4"/>
  <c r="K974" i="4"/>
  <c r="P973" i="4"/>
  <c r="O973" i="4"/>
  <c r="L973" i="4"/>
  <c r="K973" i="4"/>
  <c r="P972" i="4"/>
  <c r="O972" i="4"/>
  <c r="L972" i="4"/>
  <c r="K972" i="4"/>
  <c r="P971" i="4"/>
  <c r="O971" i="4"/>
  <c r="L971" i="4"/>
  <c r="K971" i="4"/>
  <c r="P970" i="4"/>
  <c r="O970" i="4"/>
  <c r="L970" i="4"/>
  <c r="K970" i="4"/>
  <c r="P969" i="4"/>
  <c r="O969" i="4"/>
  <c r="L969" i="4"/>
  <c r="K969" i="4"/>
  <c r="P968" i="4"/>
  <c r="O968" i="4"/>
  <c r="L968" i="4"/>
  <c r="K968" i="4"/>
  <c r="P967" i="4"/>
  <c r="O967" i="4"/>
  <c r="L967" i="4"/>
  <c r="K967" i="4"/>
  <c r="P966" i="4"/>
  <c r="O966" i="4"/>
  <c r="L966" i="4"/>
  <c r="K966" i="4"/>
  <c r="P965" i="4"/>
  <c r="O965" i="4"/>
  <c r="L965" i="4"/>
  <c r="K965" i="4"/>
  <c r="P964" i="4"/>
  <c r="O964" i="4"/>
  <c r="L964" i="4"/>
  <c r="K964" i="4"/>
  <c r="P963" i="4"/>
  <c r="O963" i="4"/>
  <c r="L963" i="4"/>
  <c r="K963" i="4"/>
  <c r="P962" i="4"/>
  <c r="O962" i="4"/>
  <c r="L962" i="4"/>
  <c r="K962" i="4"/>
  <c r="P961" i="4"/>
  <c r="O961" i="4"/>
  <c r="L961" i="4"/>
  <c r="K961" i="4"/>
  <c r="P960" i="4"/>
  <c r="O960" i="4"/>
  <c r="L960" i="4"/>
  <c r="K960" i="4"/>
  <c r="P959" i="4"/>
  <c r="O959" i="4"/>
  <c r="L959" i="4"/>
  <c r="K959" i="4"/>
  <c r="P958" i="4"/>
  <c r="O958" i="4"/>
  <c r="L958" i="4"/>
  <c r="K958" i="4"/>
  <c r="P957" i="4"/>
  <c r="O957" i="4"/>
  <c r="L957" i="4"/>
  <c r="K957" i="4"/>
  <c r="P956" i="4"/>
  <c r="O956" i="4"/>
  <c r="L956" i="4"/>
  <c r="K956" i="4"/>
  <c r="G956" i="4"/>
  <c r="P955" i="4"/>
  <c r="O955" i="4"/>
  <c r="L955" i="4"/>
  <c r="K955" i="4"/>
  <c r="H955" i="4"/>
  <c r="G955" i="4"/>
  <c r="P954" i="4"/>
  <c r="O954" i="4"/>
  <c r="L954" i="4"/>
  <c r="K954" i="4"/>
  <c r="H954" i="4"/>
  <c r="G954" i="4"/>
  <c r="P953" i="4"/>
  <c r="O953" i="4"/>
  <c r="L953" i="4"/>
  <c r="K953" i="4"/>
  <c r="H953" i="4"/>
  <c r="G953" i="4"/>
  <c r="P952" i="4"/>
  <c r="O952" i="4"/>
  <c r="L952" i="4"/>
  <c r="K952" i="4"/>
  <c r="H952" i="4"/>
  <c r="G952" i="4"/>
  <c r="P951" i="4"/>
  <c r="O951" i="4"/>
  <c r="L951" i="4"/>
  <c r="K951" i="4"/>
  <c r="H951" i="4"/>
  <c r="G951" i="4"/>
  <c r="P950" i="4"/>
  <c r="O950" i="4"/>
  <c r="L950" i="4"/>
  <c r="K950" i="4"/>
  <c r="H950" i="4"/>
  <c r="G950" i="4"/>
  <c r="P949" i="4"/>
  <c r="O949" i="4"/>
  <c r="L949" i="4"/>
  <c r="K949" i="4"/>
  <c r="H949" i="4"/>
  <c r="G949" i="4"/>
  <c r="P948" i="4"/>
  <c r="O948" i="4"/>
  <c r="L948" i="4"/>
  <c r="K948" i="4"/>
  <c r="H948" i="4"/>
  <c r="G948" i="4"/>
  <c r="P947" i="4"/>
  <c r="O947" i="4"/>
  <c r="L947" i="4"/>
  <c r="K947" i="4"/>
  <c r="H947" i="4"/>
  <c r="G947" i="4"/>
  <c r="P946" i="4"/>
  <c r="O946" i="4"/>
  <c r="L946" i="4"/>
  <c r="K946" i="4"/>
  <c r="H946" i="4"/>
  <c r="G946" i="4"/>
  <c r="P945" i="4"/>
  <c r="O945" i="4"/>
  <c r="L945" i="4"/>
  <c r="K945" i="4"/>
  <c r="H945" i="4"/>
  <c r="G945" i="4"/>
  <c r="P944" i="4"/>
  <c r="O944" i="4"/>
  <c r="L944" i="4"/>
  <c r="K944" i="4"/>
  <c r="H944" i="4"/>
  <c r="G944" i="4"/>
  <c r="P943" i="4"/>
  <c r="O943" i="4"/>
  <c r="L943" i="4"/>
  <c r="K943" i="4"/>
  <c r="H943" i="4"/>
  <c r="G943" i="4"/>
  <c r="F943" i="4"/>
  <c r="P942" i="4"/>
  <c r="O942" i="4"/>
  <c r="L942" i="4"/>
  <c r="K942" i="4"/>
  <c r="H942" i="4"/>
  <c r="G942" i="4"/>
  <c r="F942" i="4"/>
  <c r="P941" i="4"/>
  <c r="O941" i="4"/>
  <c r="L941" i="4"/>
  <c r="K941" i="4"/>
  <c r="H941" i="4"/>
  <c r="G941" i="4"/>
  <c r="F941" i="4"/>
  <c r="P940" i="4"/>
  <c r="O940" i="4"/>
  <c r="L940" i="4"/>
  <c r="K940" i="4"/>
  <c r="H940" i="4"/>
  <c r="G940" i="4"/>
  <c r="F940" i="4"/>
  <c r="P939" i="4"/>
  <c r="O939" i="4"/>
  <c r="L939" i="4"/>
  <c r="K939" i="4"/>
  <c r="H939" i="4"/>
  <c r="G939" i="4"/>
  <c r="F939" i="4"/>
  <c r="P938" i="4"/>
  <c r="O938" i="4"/>
  <c r="L938" i="4"/>
  <c r="K938" i="4"/>
  <c r="H938" i="4"/>
  <c r="G938" i="4"/>
  <c r="F938" i="4"/>
  <c r="E938" i="4"/>
  <c r="P937" i="4"/>
  <c r="O937" i="4"/>
  <c r="L937" i="4"/>
  <c r="K937" i="4"/>
  <c r="I937" i="4"/>
  <c r="H937" i="4"/>
  <c r="G937" i="4"/>
  <c r="F937" i="4"/>
  <c r="E937" i="4"/>
  <c r="P936" i="4"/>
  <c r="O936" i="4"/>
  <c r="L936" i="4"/>
  <c r="K936" i="4"/>
  <c r="I936" i="4"/>
  <c r="H936" i="4"/>
  <c r="G936" i="4"/>
  <c r="F936" i="4"/>
  <c r="E936" i="4"/>
  <c r="P935" i="4"/>
  <c r="O935" i="4"/>
  <c r="L935" i="4"/>
  <c r="K935" i="4"/>
  <c r="I935" i="4"/>
  <c r="H935" i="4"/>
  <c r="G935" i="4"/>
  <c r="F935" i="4"/>
  <c r="E935" i="4"/>
  <c r="P934" i="4"/>
  <c r="O934" i="4"/>
  <c r="L934" i="4"/>
  <c r="K934" i="4"/>
  <c r="I934" i="4"/>
  <c r="H934" i="4"/>
  <c r="G934" i="4"/>
  <c r="F934" i="4"/>
  <c r="E934" i="4"/>
  <c r="P933" i="4"/>
  <c r="O933" i="4"/>
  <c r="L933" i="4"/>
  <c r="K933" i="4"/>
  <c r="I933" i="4"/>
  <c r="H933" i="4"/>
  <c r="G933" i="4"/>
  <c r="F933" i="4"/>
  <c r="E933" i="4"/>
  <c r="P932" i="4"/>
  <c r="O932" i="4"/>
  <c r="L932" i="4"/>
  <c r="K932" i="4"/>
  <c r="I932" i="4"/>
  <c r="H932" i="4"/>
  <c r="G932" i="4"/>
  <c r="F932" i="4"/>
  <c r="E932" i="4"/>
  <c r="B932" i="4"/>
  <c r="K840" i="4"/>
  <c r="K839" i="4"/>
  <c r="K838" i="4"/>
  <c r="K837" i="4"/>
  <c r="S837" i="4" s="1"/>
  <c r="K836" i="4"/>
  <c r="S836" i="4" s="1"/>
  <c r="K835" i="4"/>
  <c r="S896" i="4" s="1"/>
  <c r="K834" i="4"/>
  <c r="S834" i="4" s="1"/>
  <c r="K833" i="4"/>
  <c r="S894" i="4" s="1"/>
  <c r="K832" i="4"/>
  <c r="S893" i="4" s="1"/>
  <c r="K831" i="4"/>
  <c r="S831" i="4" s="1"/>
  <c r="K830" i="4"/>
  <c r="S830" i="4" s="1"/>
  <c r="K829" i="4"/>
  <c r="S829" i="4" s="1"/>
  <c r="K828" i="4"/>
  <c r="K827" i="4"/>
  <c r="S827" i="4" s="1"/>
  <c r="K826" i="4"/>
  <c r="S826" i="4" s="1"/>
  <c r="K825" i="4"/>
  <c r="K824" i="4"/>
  <c r="K823" i="4"/>
  <c r="S823" i="4" s="1"/>
  <c r="K822" i="4"/>
  <c r="S822" i="4" s="1"/>
  <c r="K821" i="4"/>
  <c r="K820" i="4"/>
  <c r="S881" i="4" s="1"/>
  <c r="K819" i="4"/>
  <c r="K818" i="4"/>
  <c r="S818" i="4" s="1"/>
  <c r="K817" i="4"/>
  <c r="K816" i="4"/>
  <c r="S816" i="4" s="1"/>
  <c r="K815" i="4"/>
  <c r="S876" i="4" s="1"/>
  <c r="K814" i="4"/>
  <c r="U813" i="4"/>
  <c r="K813" i="4"/>
  <c r="S874" i="4" s="1"/>
  <c r="U812" i="4"/>
  <c r="K812" i="4"/>
  <c r="K811" i="4"/>
  <c r="S872" i="4" s="1"/>
  <c r="U810" i="4"/>
  <c r="K810" i="4"/>
  <c r="U809" i="4"/>
  <c r="K809" i="4"/>
  <c r="S809" i="4" s="1"/>
  <c r="K808" i="4"/>
  <c r="U807" i="4"/>
  <c r="K807" i="4"/>
  <c r="S868" i="4" s="1"/>
  <c r="U806" i="4"/>
  <c r="K806" i="4"/>
  <c r="S867" i="4" s="1"/>
  <c r="K805" i="4"/>
  <c r="S805" i="4" s="1"/>
  <c r="U804" i="4"/>
  <c r="K804" i="4"/>
  <c r="S865" i="4" s="1"/>
  <c r="U803" i="4"/>
  <c r="K803" i="4"/>
  <c r="S803" i="4" s="1"/>
  <c r="K802" i="4"/>
  <c r="S863" i="4" s="1"/>
  <c r="U801" i="4"/>
  <c r="K801" i="4"/>
  <c r="S862" i="4" s="1"/>
  <c r="U800" i="4"/>
  <c r="K800" i="4"/>
  <c r="K799" i="4"/>
  <c r="S860" i="4" s="1"/>
  <c r="K798" i="4"/>
  <c r="K797" i="4"/>
  <c r="S858" i="4" s="1"/>
  <c r="K796" i="4"/>
  <c r="S796" i="4" s="1"/>
  <c r="K795" i="4"/>
  <c r="S795" i="4" s="1"/>
  <c r="K794" i="4"/>
  <c r="S794" i="4" s="1"/>
  <c r="K793" i="4"/>
  <c r="K792" i="4"/>
  <c r="S792" i="4" s="1"/>
  <c r="K791" i="4"/>
  <c r="S791" i="4" s="1"/>
  <c r="K790" i="4"/>
  <c r="S851" i="4" s="1"/>
  <c r="K789" i="4"/>
  <c r="K788" i="4"/>
  <c r="S849" i="4" s="1"/>
  <c r="K787" i="4"/>
  <c r="S787" i="4" s="1"/>
  <c r="K786" i="4"/>
  <c r="S847" i="4" s="1"/>
  <c r="K785" i="4"/>
  <c r="K784" i="4"/>
  <c r="S845" i="4" s="1"/>
  <c r="K783" i="4"/>
  <c r="K782" i="4"/>
  <c r="K781" i="4"/>
  <c r="S781" i="4" s="1"/>
  <c r="P775" i="4"/>
  <c r="O775" i="4"/>
  <c r="L775" i="4"/>
  <c r="K775" i="4"/>
  <c r="P774" i="4"/>
  <c r="O774" i="4"/>
  <c r="L774" i="4"/>
  <c r="K774" i="4"/>
  <c r="P773" i="4"/>
  <c r="O773" i="4"/>
  <c r="L773" i="4"/>
  <c r="K773" i="4"/>
  <c r="P772" i="4"/>
  <c r="O772" i="4"/>
  <c r="L772" i="4"/>
  <c r="K772" i="4"/>
  <c r="P771" i="4"/>
  <c r="O771" i="4"/>
  <c r="L771" i="4"/>
  <c r="K771" i="4"/>
  <c r="P770" i="4"/>
  <c r="O770" i="4"/>
  <c r="L770" i="4"/>
  <c r="K770" i="4"/>
  <c r="P769" i="4"/>
  <c r="O769" i="4"/>
  <c r="L769" i="4"/>
  <c r="K769" i="4"/>
  <c r="P768" i="4"/>
  <c r="O768" i="4"/>
  <c r="L768" i="4"/>
  <c r="K768" i="4"/>
  <c r="P767" i="4"/>
  <c r="O767" i="4"/>
  <c r="L767" i="4"/>
  <c r="K767" i="4"/>
  <c r="P766" i="4"/>
  <c r="O766" i="4"/>
  <c r="L766" i="4"/>
  <c r="K766" i="4"/>
  <c r="P765" i="4"/>
  <c r="O765" i="4"/>
  <c r="L765" i="4"/>
  <c r="K765" i="4"/>
  <c r="P764" i="4"/>
  <c r="O764" i="4"/>
  <c r="L764" i="4"/>
  <c r="K764" i="4"/>
  <c r="P763" i="4"/>
  <c r="O763" i="4"/>
  <c r="L763" i="4"/>
  <c r="K763" i="4"/>
  <c r="P762" i="4"/>
  <c r="O762" i="4"/>
  <c r="L762" i="4"/>
  <c r="K762" i="4"/>
  <c r="P761" i="4"/>
  <c r="O761" i="4"/>
  <c r="L761" i="4"/>
  <c r="K761" i="4"/>
  <c r="P760" i="4"/>
  <c r="O760" i="4"/>
  <c r="L760" i="4"/>
  <c r="K760" i="4"/>
  <c r="P759" i="4"/>
  <c r="O759" i="4"/>
  <c r="L759" i="4"/>
  <c r="K759" i="4"/>
  <c r="P758" i="4"/>
  <c r="O758" i="4"/>
  <c r="L758" i="4"/>
  <c r="K758" i="4"/>
  <c r="P757" i="4"/>
  <c r="O757" i="4"/>
  <c r="L757" i="4"/>
  <c r="K757" i="4"/>
  <c r="P756" i="4"/>
  <c r="O756" i="4"/>
  <c r="L756" i="4"/>
  <c r="K756" i="4"/>
  <c r="P755" i="4"/>
  <c r="O755" i="4"/>
  <c r="L755" i="4"/>
  <c r="K755" i="4"/>
  <c r="P754" i="4"/>
  <c r="O754" i="4"/>
  <c r="L754" i="4"/>
  <c r="K754" i="4"/>
  <c r="P753" i="4"/>
  <c r="O753" i="4"/>
  <c r="L753" i="4"/>
  <c r="K753" i="4"/>
  <c r="P752" i="4"/>
  <c r="O752" i="4"/>
  <c r="L752" i="4"/>
  <c r="K752" i="4"/>
  <c r="P751" i="4"/>
  <c r="O751" i="4"/>
  <c r="L751" i="4"/>
  <c r="K751" i="4"/>
  <c r="P750" i="4"/>
  <c r="O750" i="4"/>
  <c r="L750" i="4"/>
  <c r="K750" i="4"/>
  <c r="P749" i="4"/>
  <c r="O749" i="4"/>
  <c r="L749" i="4"/>
  <c r="K749" i="4"/>
  <c r="P748" i="4"/>
  <c r="O748" i="4"/>
  <c r="L748" i="4"/>
  <c r="K748" i="4"/>
  <c r="P747" i="4"/>
  <c r="O747" i="4"/>
  <c r="L747" i="4"/>
  <c r="K747" i="4"/>
  <c r="P746" i="4"/>
  <c r="O746" i="4"/>
  <c r="L746" i="4"/>
  <c r="K746" i="4"/>
  <c r="P745" i="4"/>
  <c r="O745" i="4"/>
  <c r="L745" i="4"/>
  <c r="K745" i="4"/>
  <c r="P744" i="4"/>
  <c r="O744" i="4"/>
  <c r="L744" i="4"/>
  <c r="K744" i="4"/>
  <c r="P743" i="4"/>
  <c r="O743" i="4"/>
  <c r="L743" i="4"/>
  <c r="K743" i="4"/>
  <c r="P742" i="4"/>
  <c r="O742" i="4"/>
  <c r="L742" i="4"/>
  <c r="K742" i="4"/>
  <c r="P741" i="4"/>
  <c r="O741" i="4"/>
  <c r="L741" i="4"/>
  <c r="K741" i="4"/>
  <c r="P740" i="4"/>
  <c r="O740" i="4"/>
  <c r="L740" i="4"/>
  <c r="K740" i="4"/>
  <c r="P739" i="4"/>
  <c r="O739" i="4"/>
  <c r="L739" i="4"/>
  <c r="K739" i="4"/>
  <c r="P738" i="4"/>
  <c r="O738" i="4"/>
  <c r="L738" i="4"/>
  <c r="K738" i="4"/>
  <c r="P737" i="4"/>
  <c r="O737" i="4"/>
  <c r="L737" i="4"/>
  <c r="K737" i="4"/>
  <c r="P736" i="4"/>
  <c r="O736" i="4"/>
  <c r="L736" i="4"/>
  <c r="K736" i="4"/>
  <c r="P735" i="4"/>
  <c r="O735" i="4"/>
  <c r="L735" i="4"/>
  <c r="K735" i="4"/>
  <c r="P734" i="4"/>
  <c r="O734" i="4"/>
  <c r="L734" i="4"/>
  <c r="K734" i="4"/>
  <c r="P733" i="4"/>
  <c r="O733" i="4"/>
  <c r="L733" i="4"/>
  <c r="K733" i="4"/>
  <c r="P732" i="4"/>
  <c r="O732" i="4"/>
  <c r="L732" i="4"/>
  <c r="K732" i="4"/>
  <c r="P731" i="4"/>
  <c r="O731" i="4"/>
  <c r="L731" i="4"/>
  <c r="K731" i="4"/>
  <c r="P730" i="4"/>
  <c r="O730" i="4"/>
  <c r="L730" i="4"/>
  <c r="K730" i="4"/>
  <c r="P729" i="4"/>
  <c r="O729" i="4"/>
  <c r="L729" i="4"/>
  <c r="K729" i="4"/>
  <c r="P728" i="4"/>
  <c r="O728" i="4"/>
  <c r="L728" i="4"/>
  <c r="K728" i="4"/>
  <c r="P727" i="4"/>
  <c r="O727" i="4"/>
  <c r="L727" i="4"/>
  <c r="K727" i="4"/>
  <c r="P726" i="4"/>
  <c r="O726" i="4"/>
  <c r="L726" i="4"/>
  <c r="K726" i="4"/>
  <c r="G726" i="4"/>
  <c r="P725" i="4"/>
  <c r="O725" i="4"/>
  <c r="L725" i="4"/>
  <c r="K725" i="4"/>
  <c r="H725" i="4"/>
  <c r="G725" i="4"/>
  <c r="P724" i="4"/>
  <c r="O724" i="4"/>
  <c r="L724" i="4"/>
  <c r="K724" i="4"/>
  <c r="H724" i="4"/>
  <c r="G724" i="4"/>
  <c r="P723" i="4"/>
  <c r="O723" i="4"/>
  <c r="L723" i="4"/>
  <c r="K723" i="4"/>
  <c r="H723" i="4"/>
  <c r="G723" i="4"/>
  <c r="P722" i="4"/>
  <c r="O722" i="4"/>
  <c r="L722" i="4"/>
  <c r="K722" i="4"/>
  <c r="H722" i="4"/>
  <c r="G722" i="4"/>
  <c r="P721" i="4"/>
  <c r="O721" i="4"/>
  <c r="L721" i="4"/>
  <c r="K721" i="4"/>
  <c r="H721" i="4"/>
  <c r="G721" i="4"/>
  <c r="P720" i="4"/>
  <c r="O720" i="4"/>
  <c r="L720" i="4"/>
  <c r="K720" i="4"/>
  <c r="H720" i="4"/>
  <c r="G720" i="4"/>
  <c r="P719" i="4"/>
  <c r="O719" i="4"/>
  <c r="L719" i="4"/>
  <c r="K719" i="4"/>
  <c r="H719" i="4"/>
  <c r="G719" i="4"/>
  <c r="P718" i="4"/>
  <c r="O718" i="4"/>
  <c r="L718" i="4"/>
  <c r="K718" i="4"/>
  <c r="H718" i="4"/>
  <c r="G718" i="4"/>
  <c r="P717" i="4"/>
  <c r="O717" i="4"/>
  <c r="L717" i="4"/>
  <c r="K717" i="4"/>
  <c r="H717" i="4"/>
  <c r="G717" i="4"/>
  <c r="P716" i="4"/>
  <c r="O716" i="4"/>
  <c r="L716" i="4"/>
  <c r="K716" i="4"/>
  <c r="H716" i="4"/>
  <c r="G716" i="4"/>
  <c r="P715" i="4"/>
  <c r="O715" i="4"/>
  <c r="L715" i="4"/>
  <c r="K715" i="4"/>
  <c r="H715" i="4"/>
  <c r="G715" i="4"/>
  <c r="P714" i="4"/>
  <c r="O714" i="4"/>
  <c r="L714" i="4"/>
  <c r="K714" i="4"/>
  <c r="H714" i="4"/>
  <c r="G714" i="4"/>
  <c r="P713" i="4"/>
  <c r="O713" i="4"/>
  <c r="L713" i="4"/>
  <c r="K713" i="4"/>
  <c r="H713" i="4"/>
  <c r="G713" i="4"/>
  <c r="F713" i="4"/>
  <c r="P712" i="4"/>
  <c r="O712" i="4"/>
  <c r="L712" i="4"/>
  <c r="K712" i="4"/>
  <c r="H712" i="4"/>
  <c r="G712" i="4"/>
  <c r="F712" i="4"/>
  <c r="P711" i="4"/>
  <c r="O711" i="4"/>
  <c r="L711" i="4"/>
  <c r="K711" i="4"/>
  <c r="H711" i="4"/>
  <c r="G711" i="4"/>
  <c r="F711" i="4"/>
  <c r="P710" i="4"/>
  <c r="O710" i="4"/>
  <c r="L710" i="4"/>
  <c r="K710" i="4"/>
  <c r="H710" i="4"/>
  <c r="G710" i="4"/>
  <c r="F710" i="4"/>
  <c r="P709" i="4"/>
  <c r="O709" i="4"/>
  <c r="L709" i="4"/>
  <c r="K709" i="4"/>
  <c r="H709" i="4"/>
  <c r="G709" i="4"/>
  <c r="F709" i="4"/>
  <c r="P708" i="4"/>
  <c r="O708" i="4"/>
  <c r="L708" i="4"/>
  <c r="K708" i="4"/>
  <c r="H708" i="4"/>
  <c r="G708" i="4"/>
  <c r="F708" i="4"/>
  <c r="E708" i="4"/>
  <c r="B708" i="4"/>
  <c r="B709" i="4" s="1"/>
  <c r="P707" i="4"/>
  <c r="O707" i="4"/>
  <c r="L707" i="4"/>
  <c r="K707" i="4"/>
  <c r="I707" i="4"/>
  <c r="H707" i="4"/>
  <c r="G707" i="4"/>
  <c r="F707" i="4"/>
  <c r="E707" i="4"/>
  <c r="B707" i="4"/>
  <c r="P706" i="4"/>
  <c r="O706" i="4"/>
  <c r="L706" i="4"/>
  <c r="K706" i="4"/>
  <c r="I706" i="4"/>
  <c r="H706" i="4"/>
  <c r="G706" i="4"/>
  <c r="F706" i="4"/>
  <c r="E706" i="4"/>
  <c r="B706" i="4"/>
  <c r="P705" i="4"/>
  <c r="O705" i="4"/>
  <c r="L705" i="4"/>
  <c r="K705" i="4"/>
  <c r="I705" i="4"/>
  <c r="H705" i="4"/>
  <c r="G705" i="4"/>
  <c r="F705" i="4"/>
  <c r="E705" i="4"/>
  <c r="B705" i="4"/>
  <c r="P704" i="4"/>
  <c r="O704" i="4"/>
  <c r="L704" i="4"/>
  <c r="K704" i="4"/>
  <c r="I704" i="4"/>
  <c r="H704" i="4"/>
  <c r="G704" i="4"/>
  <c r="F704" i="4"/>
  <c r="E704" i="4"/>
  <c r="P703" i="4"/>
  <c r="O703" i="4"/>
  <c r="L703" i="4"/>
  <c r="K703" i="4"/>
  <c r="I703" i="4"/>
  <c r="H703" i="4"/>
  <c r="G703" i="4"/>
  <c r="F703" i="4"/>
  <c r="E703" i="4"/>
  <c r="P702" i="4"/>
  <c r="O702" i="4"/>
  <c r="L702" i="4"/>
  <c r="K702" i="4"/>
  <c r="I702" i="4"/>
  <c r="H702" i="4"/>
  <c r="G702" i="4"/>
  <c r="F702" i="4"/>
  <c r="E702" i="4"/>
  <c r="B702" i="4"/>
  <c r="B710" i="4" s="1"/>
  <c r="K610" i="4"/>
  <c r="K609" i="4"/>
  <c r="K608" i="4"/>
  <c r="S669" i="4" s="1"/>
  <c r="K607" i="4"/>
  <c r="S668" i="4" s="1"/>
  <c r="K606" i="4"/>
  <c r="S667" i="4" s="1"/>
  <c r="K605" i="4"/>
  <c r="K604" i="4"/>
  <c r="S604" i="4" s="1"/>
  <c r="K603" i="4"/>
  <c r="S603" i="4" s="1"/>
  <c r="K602" i="4"/>
  <c r="S602" i="4" s="1"/>
  <c r="K601" i="4"/>
  <c r="S662" i="4" s="1"/>
  <c r="K600" i="4"/>
  <c r="S661" i="4" s="1"/>
  <c r="K599" i="4"/>
  <c r="S599" i="4" s="1"/>
  <c r="K598" i="4"/>
  <c r="S598" i="4" s="1"/>
  <c r="K597" i="4"/>
  <c r="S658" i="4" s="1"/>
  <c r="K596" i="4"/>
  <c r="S657" i="4" s="1"/>
  <c r="K595" i="4"/>
  <c r="K594" i="4"/>
  <c r="S594" i="4" s="1"/>
  <c r="K593" i="4"/>
  <c r="S593" i="4" s="1"/>
  <c r="K592" i="4"/>
  <c r="K591" i="4"/>
  <c r="K590" i="4"/>
  <c r="S651" i="4" s="1"/>
  <c r="K589" i="4"/>
  <c r="S589" i="4" s="1"/>
  <c r="K588" i="4"/>
  <c r="S649" i="4" s="1"/>
  <c r="K587" i="4"/>
  <c r="S587" i="4" s="1"/>
  <c r="K586" i="4"/>
  <c r="K585" i="4"/>
  <c r="K584" i="4"/>
  <c r="S645" i="4" s="1"/>
  <c r="U583" i="4"/>
  <c r="K583" i="4"/>
  <c r="U582" i="4"/>
  <c r="K582" i="4"/>
  <c r="S643" i="4" s="1"/>
  <c r="K581" i="4"/>
  <c r="S642" i="4" s="1"/>
  <c r="U580" i="4"/>
  <c r="K580" i="4"/>
  <c r="S641" i="4" s="1"/>
  <c r="U579" i="4"/>
  <c r="K579" i="4"/>
  <c r="S579" i="4" s="1"/>
  <c r="K578" i="4"/>
  <c r="S639" i="4" s="1"/>
  <c r="U577" i="4"/>
  <c r="K577" i="4"/>
  <c r="U576" i="4"/>
  <c r="K576" i="4"/>
  <c r="S576" i="4" s="1"/>
  <c r="K575" i="4"/>
  <c r="S575" i="4" s="1"/>
  <c r="U574" i="4"/>
  <c r="K574" i="4"/>
  <c r="S635" i="4" s="1"/>
  <c r="U573" i="4"/>
  <c r="K573" i="4"/>
  <c r="S573" i="4" s="1"/>
  <c r="K572" i="4"/>
  <c r="S572" i="4" s="1"/>
  <c r="U571" i="4"/>
  <c r="K571" i="4"/>
  <c r="S632" i="4" s="1"/>
  <c r="U570" i="4"/>
  <c r="K570" i="4"/>
  <c r="S631" i="4" s="1"/>
  <c r="K569" i="4"/>
  <c r="S630" i="4" s="1"/>
  <c r="K568" i="4"/>
  <c r="S568" i="4" s="1"/>
  <c r="K567" i="4"/>
  <c r="S628" i="4" s="1"/>
  <c r="K566" i="4"/>
  <c r="K565" i="4"/>
  <c r="S626" i="4" s="1"/>
  <c r="K564" i="4"/>
  <c r="K563" i="4"/>
  <c r="S624" i="4" s="1"/>
  <c r="K562" i="4"/>
  <c r="S562" i="4" s="1"/>
  <c r="K561" i="4"/>
  <c r="K560" i="4"/>
  <c r="S621" i="4" s="1"/>
  <c r="K559" i="4"/>
  <c r="K558" i="4"/>
  <c r="S558" i="4" s="1"/>
  <c r="K557" i="4"/>
  <c r="S618" i="4" s="1"/>
  <c r="K556" i="4"/>
  <c r="K555" i="4"/>
  <c r="S555" i="4" s="1"/>
  <c r="K554" i="4"/>
  <c r="K553" i="4"/>
  <c r="S614" i="4" s="1"/>
  <c r="K552" i="4"/>
  <c r="S552" i="4" s="1"/>
  <c r="K551" i="4"/>
  <c r="S551" i="4" s="1"/>
  <c r="P545" i="4"/>
  <c r="O545" i="4"/>
  <c r="L545" i="4"/>
  <c r="K545" i="4"/>
  <c r="P544" i="4"/>
  <c r="O544" i="4"/>
  <c r="L544" i="4"/>
  <c r="K544" i="4"/>
  <c r="P543" i="4"/>
  <c r="O543" i="4"/>
  <c r="L543" i="4"/>
  <c r="K543" i="4"/>
  <c r="P542" i="4"/>
  <c r="O542" i="4"/>
  <c r="L542" i="4"/>
  <c r="K542" i="4"/>
  <c r="P541" i="4"/>
  <c r="O541" i="4"/>
  <c r="L541" i="4"/>
  <c r="K541" i="4"/>
  <c r="P540" i="4"/>
  <c r="O540" i="4"/>
  <c r="L540" i="4"/>
  <c r="K540" i="4"/>
  <c r="P539" i="4"/>
  <c r="O539" i="4"/>
  <c r="L539" i="4"/>
  <c r="K539" i="4"/>
  <c r="P538" i="4"/>
  <c r="O538" i="4"/>
  <c r="L538" i="4"/>
  <c r="K538" i="4"/>
  <c r="P537" i="4"/>
  <c r="O537" i="4"/>
  <c r="L537" i="4"/>
  <c r="K537" i="4"/>
  <c r="P536" i="4"/>
  <c r="O536" i="4"/>
  <c r="L536" i="4"/>
  <c r="K536" i="4"/>
  <c r="P535" i="4"/>
  <c r="O535" i="4"/>
  <c r="L535" i="4"/>
  <c r="K535" i="4"/>
  <c r="P534" i="4"/>
  <c r="O534" i="4"/>
  <c r="L534" i="4"/>
  <c r="K534" i="4"/>
  <c r="P533" i="4"/>
  <c r="O533" i="4"/>
  <c r="L533" i="4"/>
  <c r="K533" i="4"/>
  <c r="P532" i="4"/>
  <c r="O532" i="4"/>
  <c r="L532" i="4"/>
  <c r="K532" i="4"/>
  <c r="P531" i="4"/>
  <c r="O531" i="4"/>
  <c r="L531" i="4"/>
  <c r="K531" i="4"/>
  <c r="P530" i="4"/>
  <c r="O530" i="4"/>
  <c r="L530" i="4"/>
  <c r="K530" i="4"/>
  <c r="P529" i="4"/>
  <c r="O529" i="4"/>
  <c r="L529" i="4"/>
  <c r="K529" i="4"/>
  <c r="P528" i="4"/>
  <c r="O528" i="4"/>
  <c r="L528" i="4"/>
  <c r="K528" i="4"/>
  <c r="P527" i="4"/>
  <c r="O527" i="4"/>
  <c r="L527" i="4"/>
  <c r="K527" i="4"/>
  <c r="P526" i="4"/>
  <c r="O526" i="4"/>
  <c r="L526" i="4"/>
  <c r="K526" i="4"/>
  <c r="P525" i="4"/>
  <c r="O525" i="4"/>
  <c r="L525" i="4"/>
  <c r="K525" i="4"/>
  <c r="P524" i="4"/>
  <c r="O524" i="4"/>
  <c r="L524" i="4"/>
  <c r="K524" i="4"/>
  <c r="P523" i="4"/>
  <c r="O523" i="4"/>
  <c r="L523" i="4"/>
  <c r="K523" i="4"/>
  <c r="P522" i="4"/>
  <c r="O522" i="4"/>
  <c r="L522" i="4"/>
  <c r="K522" i="4"/>
  <c r="P521" i="4"/>
  <c r="O521" i="4"/>
  <c r="L521" i="4"/>
  <c r="K521" i="4"/>
  <c r="P520" i="4"/>
  <c r="O520" i="4"/>
  <c r="L520" i="4"/>
  <c r="K520" i="4"/>
  <c r="P519" i="4"/>
  <c r="O519" i="4"/>
  <c r="L519" i="4"/>
  <c r="K519" i="4"/>
  <c r="P518" i="4"/>
  <c r="O518" i="4"/>
  <c r="L518" i="4"/>
  <c r="K518" i="4"/>
  <c r="P517" i="4"/>
  <c r="O517" i="4"/>
  <c r="L517" i="4"/>
  <c r="K517" i="4"/>
  <c r="P516" i="4"/>
  <c r="O516" i="4"/>
  <c r="L516" i="4"/>
  <c r="K516" i="4"/>
  <c r="P515" i="4"/>
  <c r="O515" i="4"/>
  <c r="L515" i="4"/>
  <c r="K515" i="4"/>
  <c r="P514" i="4"/>
  <c r="O514" i="4"/>
  <c r="L514" i="4"/>
  <c r="K514" i="4"/>
  <c r="P513" i="4"/>
  <c r="O513" i="4"/>
  <c r="L513" i="4"/>
  <c r="K513" i="4"/>
  <c r="P512" i="4"/>
  <c r="O512" i="4"/>
  <c r="L512" i="4"/>
  <c r="K512" i="4"/>
  <c r="P511" i="4"/>
  <c r="O511" i="4"/>
  <c r="L511" i="4"/>
  <c r="K511" i="4"/>
  <c r="P510" i="4"/>
  <c r="O510" i="4"/>
  <c r="L510" i="4"/>
  <c r="K510" i="4"/>
  <c r="P509" i="4"/>
  <c r="O509" i="4"/>
  <c r="L509" i="4"/>
  <c r="K509" i="4"/>
  <c r="P508" i="4"/>
  <c r="O508" i="4"/>
  <c r="L508" i="4"/>
  <c r="K508" i="4"/>
  <c r="P507" i="4"/>
  <c r="O507" i="4"/>
  <c r="L507" i="4"/>
  <c r="K507" i="4"/>
  <c r="P506" i="4"/>
  <c r="O506" i="4"/>
  <c r="L506" i="4"/>
  <c r="K506" i="4"/>
  <c r="P505" i="4"/>
  <c r="O505" i="4"/>
  <c r="L505" i="4"/>
  <c r="K505" i="4"/>
  <c r="P504" i="4"/>
  <c r="O504" i="4"/>
  <c r="L504" i="4"/>
  <c r="K504" i="4"/>
  <c r="P503" i="4"/>
  <c r="O503" i="4"/>
  <c r="L503" i="4"/>
  <c r="K503" i="4"/>
  <c r="P502" i="4"/>
  <c r="O502" i="4"/>
  <c r="L502" i="4"/>
  <c r="K502" i="4"/>
  <c r="P501" i="4"/>
  <c r="O501" i="4"/>
  <c r="L501" i="4"/>
  <c r="K501" i="4"/>
  <c r="P500" i="4"/>
  <c r="O500" i="4"/>
  <c r="L500" i="4"/>
  <c r="K500" i="4"/>
  <c r="P499" i="4"/>
  <c r="O499" i="4"/>
  <c r="L499" i="4"/>
  <c r="K499" i="4"/>
  <c r="P498" i="4"/>
  <c r="O498" i="4"/>
  <c r="L498" i="4"/>
  <c r="K498" i="4"/>
  <c r="P497" i="4"/>
  <c r="O497" i="4"/>
  <c r="L497" i="4"/>
  <c r="K497" i="4"/>
  <c r="P496" i="4"/>
  <c r="O496" i="4"/>
  <c r="L496" i="4"/>
  <c r="K496" i="4"/>
  <c r="G496" i="4"/>
  <c r="P495" i="4"/>
  <c r="O495" i="4"/>
  <c r="L495" i="4"/>
  <c r="K495" i="4"/>
  <c r="H495" i="4"/>
  <c r="G495" i="4"/>
  <c r="P494" i="4"/>
  <c r="O494" i="4"/>
  <c r="L494" i="4"/>
  <c r="K494" i="4"/>
  <c r="H494" i="4"/>
  <c r="G494" i="4"/>
  <c r="P493" i="4"/>
  <c r="O493" i="4"/>
  <c r="L493" i="4"/>
  <c r="K493" i="4"/>
  <c r="H493" i="4"/>
  <c r="G493" i="4"/>
  <c r="P492" i="4"/>
  <c r="O492" i="4"/>
  <c r="L492" i="4"/>
  <c r="K492" i="4"/>
  <c r="H492" i="4"/>
  <c r="G492" i="4"/>
  <c r="P491" i="4"/>
  <c r="O491" i="4"/>
  <c r="L491" i="4"/>
  <c r="K491" i="4"/>
  <c r="H491" i="4"/>
  <c r="G491" i="4"/>
  <c r="P490" i="4"/>
  <c r="O490" i="4"/>
  <c r="L490" i="4"/>
  <c r="K490" i="4"/>
  <c r="H490" i="4"/>
  <c r="G490" i="4"/>
  <c r="P489" i="4"/>
  <c r="O489" i="4"/>
  <c r="L489" i="4"/>
  <c r="K489" i="4"/>
  <c r="H489" i="4"/>
  <c r="G489" i="4"/>
  <c r="P488" i="4"/>
  <c r="O488" i="4"/>
  <c r="L488" i="4"/>
  <c r="K488" i="4"/>
  <c r="H488" i="4"/>
  <c r="G488" i="4"/>
  <c r="P487" i="4"/>
  <c r="O487" i="4"/>
  <c r="L487" i="4"/>
  <c r="K487" i="4"/>
  <c r="H487" i="4"/>
  <c r="G487" i="4"/>
  <c r="P486" i="4"/>
  <c r="O486" i="4"/>
  <c r="L486" i="4"/>
  <c r="K486" i="4"/>
  <c r="H486" i="4"/>
  <c r="G486" i="4"/>
  <c r="P485" i="4"/>
  <c r="O485" i="4"/>
  <c r="L485" i="4"/>
  <c r="K485" i="4"/>
  <c r="H485" i="4"/>
  <c r="G485" i="4"/>
  <c r="P484" i="4"/>
  <c r="O484" i="4"/>
  <c r="L484" i="4"/>
  <c r="K484" i="4"/>
  <c r="H484" i="4"/>
  <c r="G484" i="4"/>
  <c r="P483" i="4"/>
  <c r="O483" i="4"/>
  <c r="L483" i="4"/>
  <c r="K483" i="4"/>
  <c r="H483" i="4"/>
  <c r="G483" i="4"/>
  <c r="F483" i="4"/>
  <c r="P482" i="4"/>
  <c r="O482" i="4"/>
  <c r="L482" i="4"/>
  <c r="K482" i="4"/>
  <c r="H482" i="4"/>
  <c r="G482" i="4"/>
  <c r="F482" i="4"/>
  <c r="P481" i="4"/>
  <c r="O481" i="4"/>
  <c r="L481" i="4"/>
  <c r="K481" i="4"/>
  <c r="H481" i="4"/>
  <c r="G481" i="4"/>
  <c r="F481" i="4"/>
  <c r="P480" i="4"/>
  <c r="O480" i="4"/>
  <c r="L480" i="4"/>
  <c r="K480" i="4"/>
  <c r="H480" i="4"/>
  <c r="G480" i="4"/>
  <c r="F480" i="4"/>
  <c r="P479" i="4"/>
  <c r="O479" i="4"/>
  <c r="L479" i="4"/>
  <c r="K479" i="4"/>
  <c r="H479" i="4"/>
  <c r="G479" i="4"/>
  <c r="F479" i="4"/>
  <c r="P478" i="4"/>
  <c r="O478" i="4"/>
  <c r="L478" i="4"/>
  <c r="K478" i="4"/>
  <c r="H478" i="4"/>
  <c r="G478" i="4"/>
  <c r="F478" i="4"/>
  <c r="E478" i="4"/>
  <c r="B478" i="4"/>
  <c r="B479" i="4" s="1"/>
  <c r="P477" i="4"/>
  <c r="O477" i="4"/>
  <c r="L477" i="4"/>
  <c r="K477" i="4"/>
  <c r="I477" i="4"/>
  <c r="H477" i="4"/>
  <c r="G477" i="4"/>
  <c r="F477" i="4"/>
  <c r="E477" i="4"/>
  <c r="B477" i="4"/>
  <c r="P476" i="4"/>
  <c r="O476" i="4"/>
  <c r="L476" i="4"/>
  <c r="K476" i="4"/>
  <c r="I476" i="4"/>
  <c r="H476" i="4"/>
  <c r="G476" i="4"/>
  <c r="F476" i="4"/>
  <c r="E476" i="4"/>
  <c r="B476" i="4"/>
  <c r="P475" i="4"/>
  <c r="O475" i="4"/>
  <c r="L475" i="4"/>
  <c r="K475" i="4"/>
  <c r="I475" i="4"/>
  <c r="H475" i="4"/>
  <c r="G475" i="4"/>
  <c r="F475" i="4"/>
  <c r="E475" i="4"/>
  <c r="B475" i="4"/>
  <c r="P474" i="4"/>
  <c r="O474" i="4"/>
  <c r="L474" i="4"/>
  <c r="K474" i="4"/>
  <c r="I474" i="4"/>
  <c r="H474" i="4"/>
  <c r="G474" i="4"/>
  <c r="F474" i="4"/>
  <c r="E474" i="4"/>
  <c r="P473" i="4"/>
  <c r="O473" i="4"/>
  <c r="L473" i="4"/>
  <c r="K473" i="4"/>
  <c r="I473" i="4"/>
  <c r="H473" i="4"/>
  <c r="G473" i="4"/>
  <c r="F473" i="4"/>
  <c r="E473" i="4"/>
  <c r="P472" i="4"/>
  <c r="O472" i="4"/>
  <c r="L472" i="4"/>
  <c r="K472" i="4"/>
  <c r="I472" i="4"/>
  <c r="H472" i="4"/>
  <c r="G472" i="4"/>
  <c r="F472" i="4"/>
  <c r="E472" i="4"/>
  <c r="B472" i="4"/>
  <c r="B480" i="4" s="1"/>
  <c r="P617" i="4" s="1"/>
  <c r="K380" i="4"/>
  <c r="K379" i="4"/>
  <c r="S379" i="4" s="1"/>
  <c r="K378" i="4"/>
  <c r="S439" i="4" s="1"/>
  <c r="K377" i="4"/>
  <c r="S377" i="4" s="1"/>
  <c r="K376" i="4"/>
  <c r="K375" i="4"/>
  <c r="S375" i="4" s="1"/>
  <c r="K374" i="4"/>
  <c r="S374" i="4" s="1"/>
  <c r="K373" i="4"/>
  <c r="K372" i="4"/>
  <c r="S372" i="4" s="1"/>
  <c r="K371" i="4"/>
  <c r="S432" i="4" s="1"/>
  <c r="K370" i="4"/>
  <c r="S431" i="4" s="1"/>
  <c r="K369" i="4"/>
  <c r="K368" i="4"/>
  <c r="S368" i="4" s="1"/>
  <c r="K367" i="4"/>
  <c r="S367" i="4" s="1"/>
  <c r="K366" i="4"/>
  <c r="S366" i="4" s="1"/>
  <c r="K365" i="4"/>
  <c r="K364" i="4"/>
  <c r="S425" i="4" s="1"/>
  <c r="K363" i="4"/>
  <c r="K362" i="4"/>
  <c r="S423" i="4" s="1"/>
  <c r="K361" i="4"/>
  <c r="S361" i="4" s="1"/>
  <c r="K360" i="4"/>
  <c r="S421" i="4" s="1"/>
  <c r="K359" i="4"/>
  <c r="S359" i="4" s="1"/>
  <c r="K358" i="4"/>
  <c r="S419" i="4" s="1"/>
  <c r="K357" i="4"/>
  <c r="S357" i="4" s="1"/>
  <c r="K356" i="4"/>
  <c r="K355" i="4"/>
  <c r="S355" i="4" s="1"/>
  <c r="K354" i="4"/>
  <c r="S415" i="4" s="1"/>
  <c r="U353" i="4"/>
  <c r="K353" i="4"/>
  <c r="S353" i="4" s="1"/>
  <c r="U352" i="4"/>
  <c r="K352" i="4"/>
  <c r="S413" i="4" s="1"/>
  <c r="K351" i="4"/>
  <c r="S412" i="4" s="1"/>
  <c r="U350" i="4"/>
  <c r="K350" i="4"/>
  <c r="S411" i="4" s="1"/>
  <c r="U349" i="4"/>
  <c r="K349" i="4"/>
  <c r="K348" i="4"/>
  <c r="S348" i="4" s="1"/>
  <c r="U347" i="4"/>
  <c r="K347" i="4"/>
  <c r="S408" i="4" s="1"/>
  <c r="U346" i="4"/>
  <c r="K346" i="4"/>
  <c r="K345" i="4"/>
  <c r="S406" i="4" s="1"/>
  <c r="U344" i="4"/>
  <c r="K344" i="4"/>
  <c r="U343" i="4"/>
  <c r="K343" i="4"/>
  <c r="K342" i="4"/>
  <c r="S403" i="4" s="1"/>
  <c r="U341" i="4"/>
  <c r="K341" i="4"/>
  <c r="S341" i="4" s="1"/>
  <c r="U340" i="4"/>
  <c r="K340" i="4"/>
  <c r="K339" i="4"/>
  <c r="S400" i="4" s="1"/>
  <c r="K338" i="4"/>
  <c r="S399" i="4" s="1"/>
  <c r="K337" i="4"/>
  <c r="S337" i="4" s="1"/>
  <c r="K336" i="4"/>
  <c r="S397" i="4" s="1"/>
  <c r="K335" i="4"/>
  <c r="S396" i="4" s="1"/>
  <c r="K334" i="4"/>
  <c r="S334" i="4" s="1"/>
  <c r="K333" i="4"/>
  <c r="K332" i="4"/>
  <c r="S332" i="4" s="1"/>
  <c r="K331" i="4"/>
  <c r="S331" i="4" s="1"/>
  <c r="K330" i="4"/>
  <c r="S330" i="4" s="1"/>
  <c r="K329" i="4"/>
  <c r="S329" i="4" s="1"/>
  <c r="K328" i="4"/>
  <c r="K327" i="4"/>
  <c r="S388" i="4" s="1"/>
  <c r="K326" i="4"/>
  <c r="S326" i="4" s="1"/>
  <c r="K325" i="4"/>
  <c r="S325" i="4" s="1"/>
  <c r="K324" i="4"/>
  <c r="S385" i="4" s="1"/>
  <c r="K323" i="4"/>
  <c r="K322" i="4"/>
  <c r="S322" i="4" s="1"/>
  <c r="K321" i="4"/>
  <c r="P315" i="4"/>
  <c r="O315" i="4"/>
  <c r="L315" i="4"/>
  <c r="K315" i="4"/>
  <c r="P314" i="4"/>
  <c r="O314" i="4"/>
  <c r="L314" i="4"/>
  <c r="K314" i="4"/>
  <c r="P313" i="4"/>
  <c r="O313" i="4"/>
  <c r="L313" i="4"/>
  <c r="K313" i="4"/>
  <c r="P312" i="4"/>
  <c r="O312" i="4"/>
  <c r="L312" i="4"/>
  <c r="K312" i="4"/>
  <c r="P311" i="4"/>
  <c r="O311" i="4"/>
  <c r="L311" i="4"/>
  <c r="K311" i="4"/>
  <c r="P310" i="4"/>
  <c r="O310" i="4"/>
  <c r="L310" i="4"/>
  <c r="K310" i="4"/>
  <c r="P309" i="4"/>
  <c r="O309" i="4"/>
  <c r="L309" i="4"/>
  <c r="K309" i="4"/>
  <c r="P308" i="4"/>
  <c r="O308" i="4"/>
  <c r="L308" i="4"/>
  <c r="K308" i="4"/>
  <c r="P307" i="4"/>
  <c r="O307" i="4"/>
  <c r="L307" i="4"/>
  <c r="K307" i="4"/>
  <c r="P306" i="4"/>
  <c r="O306" i="4"/>
  <c r="L306" i="4"/>
  <c r="K306" i="4"/>
  <c r="P305" i="4"/>
  <c r="O305" i="4"/>
  <c r="L305" i="4"/>
  <c r="K305" i="4"/>
  <c r="P304" i="4"/>
  <c r="O304" i="4"/>
  <c r="L304" i="4"/>
  <c r="K304" i="4"/>
  <c r="P303" i="4"/>
  <c r="O303" i="4"/>
  <c r="L303" i="4"/>
  <c r="K303" i="4"/>
  <c r="P302" i="4"/>
  <c r="O302" i="4"/>
  <c r="L302" i="4"/>
  <c r="K302" i="4"/>
  <c r="P301" i="4"/>
  <c r="O301" i="4"/>
  <c r="L301" i="4"/>
  <c r="K301" i="4"/>
  <c r="P300" i="4"/>
  <c r="O300" i="4"/>
  <c r="L300" i="4"/>
  <c r="K300" i="4"/>
  <c r="P299" i="4"/>
  <c r="O299" i="4"/>
  <c r="L299" i="4"/>
  <c r="K299" i="4"/>
  <c r="P298" i="4"/>
  <c r="O298" i="4"/>
  <c r="L298" i="4"/>
  <c r="K298" i="4"/>
  <c r="P297" i="4"/>
  <c r="O297" i="4"/>
  <c r="L297" i="4"/>
  <c r="K297" i="4"/>
  <c r="P296" i="4"/>
  <c r="O296" i="4"/>
  <c r="L296" i="4"/>
  <c r="K296" i="4"/>
  <c r="P295" i="4"/>
  <c r="O295" i="4"/>
  <c r="L295" i="4"/>
  <c r="K295" i="4"/>
  <c r="P294" i="4"/>
  <c r="O294" i="4"/>
  <c r="L294" i="4"/>
  <c r="K294" i="4"/>
  <c r="P293" i="4"/>
  <c r="O293" i="4"/>
  <c r="L293" i="4"/>
  <c r="K293" i="4"/>
  <c r="P292" i="4"/>
  <c r="O292" i="4"/>
  <c r="L292" i="4"/>
  <c r="K292" i="4"/>
  <c r="P291" i="4"/>
  <c r="O291" i="4"/>
  <c r="L291" i="4"/>
  <c r="K291" i="4"/>
  <c r="P290" i="4"/>
  <c r="O290" i="4"/>
  <c r="L290" i="4"/>
  <c r="K290" i="4"/>
  <c r="P289" i="4"/>
  <c r="O289" i="4"/>
  <c r="L289" i="4"/>
  <c r="K289" i="4"/>
  <c r="P288" i="4"/>
  <c r="O288" i="4"/>
  <c r="L288" i="4"/>
  <c r="K288" i="4"/>
  <c r="P287" i="4"/>
  <c r="O287" i="4"/>
  <c r="L287" i="4"/>
  <c r="K287" i="4"/>
  <c r="P286" i="4"/>
  <c r="O286" i="4"/>
  <c r="L286" i="4"/>
  <c r="K286" i="4"/>
  <c r="P285" i="4"/>
  <c r="O285" i="4"/>
  <c r="L285" i="4"/>
  <c r="K285" i="4"/>
  <c r="P284" i="4"/>
  <c r="O284" i="4"/>
  <c r="L284" i="4"/>
  <c r="K284" i="4"/>
  <c r="P283" i="4"/>
  <c r="O283" i="4"/>
  <c r="L283" i="4"/>
  <c r="K283" i="4"/>
  <c r="P282" i="4"/>
  <c r="O282" i="4"/>
  <c r="L282" i="4"/>
  <c r="K282" i="4"/>
  <c r="P281" i="4"/>
  <c r="O281" i="4"/>
  <c r="L281" i="4"/>
  <c r="K281" i="4"/>
  <c r="P280" i="4"/>
  <c r="O280" i="4"/>
  <c r="L280" i="4"/>
  <c r="K280" i="4"/>
  <c r="P279" i="4"/>
  <c r="O279" i="4"/>
  <c r="L279" i="4"/>
  <c r="K279" i="4"/>
  <c r="P278" i="4"/>
  <c r="O278" i="4"/>
  <c r="L278" i="4"/>
  <c r="K278" i="4"/>
  <c r="P277" i="4"/>
  <c r="O277" i="4"/>
  <c r="L277" i="4"/>
  <c r="K277" i="4"/>
  <c r="P276" i="4"/>
  <c r="O276" i="4"/>
  <c r="L276" i="4"/>
  <c r="K276" i="4"/>
  <c r="P275" i="4"/>
  <c r="O275" i="4"/>
  <c r="L275" i="4"/>
  <c r="K275" i="4"/>
  <c r="P274" i="4"/>
  <c r="O274" i="4"/>
  <c r="L274" i="4"/>
  <c r="K274" i="4"/>
  <c r="P273" i="4"/>
  <c r="O273" i="4"/>
  <c r="L273" i="4"/>
  <c r="K273" i="4"/>
  <c r="P272" i="4"/>
  <c r="O272" i="4"/>
  <c r="L272" i="4"/>
  <c r="K272" i="4"/>
  <c r="P271" i="4"/>
  <c r="O271" i="4"/>
  <c r="L271" i="4"/>
  <c r="K271" i="4"/>
  <c r="P270" i="4"/>
  <c r="O270" i="4"/>
  <c r="L270" i="4"/>
  <c r="K270" i="4"/>
  <c r="P269" i="4"/>
  <c r="O269" i="4"/>
  <c r="L269" i="4"/>
  <c r="K269" i="4"/>
  <c r="P268" i="4"/>
  <c r="O268" i="4"/>
  <c r="L268" i="4"/>
  <c r="K268" i="4"/>
  <c r="P267" i="4"/>
  <c r="O267" i="4"/>
  <c r="L267" i="4"/>
  <c r="K267" i="4"/>
  <c r="P266" i="4"/>
  <c r="O266" i="4"/>
  <c r="L266" i="4"/>
  <c r="K266" i="4"/>
  <c r="G266" i="4"/>
  <c r="P265" i="4"/>
  <c r="O265" i="4"/>
  <c r="L265" i="4"/>
  <c r="K265" i="4"/>
  <c r="H265" i="4"/>
  <c r="G265" i="4"/>
  <c r="P264" i="4"/>
  <c r="O264" i="4"/>
  <c r="L264" i="4"/>
  <c r="K264" i="4"/>
  <c r="H264" i="4"/>
  <c r="G264" i="4"/>
  <c r="P263" i="4"/>
  <c r="O263" i="4"/>
  <c r="L263" i="4"/>
  <c r="K263" i="4"/>
  <c r="H263" i="4"/>
  <c r="G263" i="4"/>
  <c r="P262" i="4"/>
  <c r="O262" i="4"/>
  <c r="L262" i="4"/>
  <c r="K262" i="4"/>
  <c r="H262" i="4"/>
  <c r="G262" i="4"/>
  <c r="P261" i="4"/>
  <c r="O261" i="4"/>
  <c r="L261" i="4"/>
  <c r="K261" i="4"/>
  <c r="H261" i="4"/>
  <c r="G261" i="4"/>
  <c r="P260" i="4"/>
  <c r="O260" i="4"/>
  <c r="L260" i="4"/>
  <c r="K260" i="4"/>
  <c r="H260" i="4"/>
  <c r="G260" i="4"/>
  <c r="P259" i="4"/>
  <c r="O259" i="4"/>
  <c r="L259" i="4"/>
  <c r="K259" i="4"/>
  <c r="H259" i="4"/>
  <c r="G259" i="4"/>
  <c r="P258" i="4"/>
  <c r="O258" i="4"/>
  <c r="L258" i="4"/>
  <c r="K258" i="4"/>
  <c r="H258" i="4"/>
  <c r="G258" i="4"/>
  <c r="P257" i="4"/>
  <c r="O257" i="4"/>
  <c r="L257" i="4"/>
  <c r="K257" i="4"/>
  <c r="H257" i="4"/>
  <c r="G257" i="4"/>
  <c r="P256" i="4"/>
  <c r="O256" i="4"/>
  <c r="L256" i="4"/>
  <c r="K256" i="4"/>
  <c r="H256" i="4"/>
  <c r="G256" i="4"/>
  <c r="P255" i="4"/>
  <c r="O255" i="4"/>
  <c r="L255" i="4"/>
  <c r="K255" i="4"/>
  <c r="H255" i="4"/>
  <c r="G255" i="4"/>
  <c r="P254" i="4"/>
  <c r="O254" i="4"/>
  <c r="L254" i="4"/>
  <c r="K254" i="4"/>
  <c r="H254" i="4"/>
  <c r="G254" i="4"/>
  <c r="P253" i="4"/>
  <c r="O253" i="4"/>
  <c r="L253" i="4"/>
  <c r="K253" i="4"/>
  <c r="H253" i="4"/>
  <c r="G253" i="4"/>
  <c r="F253" i="4"/>
  <c r="P252" i="4"/>
  <c r="O252" i="4"/>
  <c r="L252" i="4"/>
  <c r="K252" i="4"/>
  <c r="H252" i="4"/>
  <c r="G252" i="4"/>
  <c r="F252" i="4"/>
  <c r="P251" i="4"/>
  <c r="O251" i="4"/>
  <c r="L251" i="4"/>
  <c r="K251" i="4"/>
  <c r="H251" i="4"/>
  <c r="G251" i="4"/>
  <c r="F251" i="4"/>
  <c r="P250" i="4"/>
  <c r="O250" i="4"/>
  <c r="L250" i="4"/>
  <c r="K250" i="4"/>
  <c r="H250" i="4"/>
  <c r="G250" i="4"/>
  <c r="F250" i="4"/>
  <c r="P249" i="4"/>
  <c r="O249" i="4"/>
  <c r="L249" i="4"/>
  <c r="K249" i="4"/>
  <c r="H249" i="4"/>
  <c r="G249" i="4"/>
  <c r="F249" i="4"/>
  <c r="P248" i="4"/>
  <c r="O248" i="4"/>
  <c r="L248" i="4"/>
  <c r="K248" i="4"/>
  <c r="H248" i="4"/>
  <c r="G248" i="4"/>
  <c r="F248" i="4"/>
  <c r="E248" i="4"/>
  <c r="B248" i="4"/>
  <c r="B249" i="4" s="1"/>
  <c r="P247" i="4"/>
  <c r="O247" i="4"/>
  <c r="L247" i="4"/>
  <c r="K247" i="4"/>
  <c r="I247" i="4"/>
  <c r="H247" i="4"/>
  <c r="G247" i="4"/>
  <c r="F247" i="4"/>
  <c r="E247" i="4"/>
  <c r="B247" i="4"/>
  <c r="P246" i="4"/>
  <c r="O246" i="4"/>
  <c r="L246" i="4"/>
  <c r="K246" i="4"/>
  <c r="I246" i="4"/>
  <c r="H246" i="4"/>
  <c r="G246" i="4"/>
  <c r="F246" i="4"/>
  <c r="E246" i="4"/>
  <c r="B246" i="4"/>
  <c r="P245" i="4"/>
  <c r="O245" i="4"/>
  <c r="L245" i="4"/>
  <c r="K245" i="4"/>
  <c r="I245" i="4"/>
  <c r="H245" i="4"/>
  <c r="G245" i="4"/>
  <c r="F245" i="4"/>
  <c r="E245" i="4"/>
  <c r="B245" i="4"/>
  <c r="P244" i="4"/>
  <c r="O244" i="4"/>
  <c r="L244" i="4"/>
  <c r="K244" i="4"/>
  <c r="I244" i="4"/>
  <c r="H244" i="4"/>
  <c r="G244" i="4"/>
  <c r="F244" i="4"/>
  <c r="E244" i="4"/>
  <c r="P243" i="4"/>
  <c r="O243" i="4"/>
  <c r="L243" i="4"/>
  <c r="K243" i="4"/>
  <c r="I243" i="4"/>
  <c r="H243" i="4"/>
  <c r="G243" i="4"/>
  <c r="F243" i="4"/>
  <c r="E243" i="4"/>
  <c r="P242" i="4"/>
  <c r="O242" i="4"/>
  <c r="L242" i="4"/>
  <c r="K242" i="4"/>
  <c r="I242" i="4"/>
  <c r="H242" i="4"/>
  <c r="G242" i="4"/>
  <c r="F242" i="4"/>
  <c r="E242" i="4"/>
  <c r="B242" i="4"/>
  <c r="B250" i="4" s="1"/>
  <c r="K150" i="4"/>
  <c r="K149" i="4"/>
  <c r="S210" i="4" s="1"/>
  <c r="K148" i="4"/>
  <c r="S148" i="4" s="1"/>
  <c r="K147" i="4"/>
  <c r="S147" i="4" s="1"/>
  <c r="K146" i="4"/>
  <c r="S146" i="4" s="1"/>
  <c r="K145" i="4"/>
  <c r="S206" i="4" s="1"/>
  <c r="K144" i="4"/>
  <c r="S144" i="4" s="1"/>
  <c r="K143" i="4"/>
  <c r="S143" i="4" s="1"/>
  <c r="K142" i="4"/>
  <c r="K141" i="4"/>
  <c r="K140" i="4"/>
  <c r="K139" i="4"/>
  <c r="S200" i="4" s="1"/>
  <c r="K138" i="4"/>
  <c r="S138" i="4" s="1"/>
  <c r="K137" i="4"/>
  <c r="S137" i="4" s="1"/>
  <c r="K136" i="4"/>
  <c r="S197" i="4" s="1"/>
  <c r="K135" i="4"/>
  <c r="K134" i="4"/>
  <c r="S134" i="4" s="1"/>
  <c r="K133" i="4"/>
  <c r="K132" i="4"/>
  <c r="S193" i="4" s="1"/>
  <c r="K131" i="4"/>
  <c r="S131" i="4" s="1"/>
  <c r="K130" i="4"/>
  <c r="K129" i="4"/>
  <c r="K128" i="4"/>
  <c r="S189" i="4" s="1"/>
  <c r="K127" i="4"/>
  <c r="S127" i="4" s="1"/>
  <c r="K126" i="4"/>
  <c r="S187" i="4" s="1"/>
  <c r="K125" i="4"/>
  <c r="S125" i="4" s="1"/>
  <c r="K124" i="4"/>
  <c r="U123" i="4"/>
  <c r="K123" i="4"/>
  <c r="S184" i="4" s="1"/>
  <c r="U122" i="4"/>
  <c r="K122" i="4"/>
  <c r="K121" i="4"/>
  <c r="S182" i="4" s="1"/>
  <c r="U120" i="4"/>
  <c r="K120" i="4"/>
  <c r="S120" i="4" s="1"/>
  <c r="U119" i="4"/>
  <c r="K119" i="4"/>
  <c r="S180" i="4" s="1"/>
  <c r="K118" i="4"/>
  <c r="S118" i="4" s="1"/>
  <c r="U117" i="4"/>
  <c r="K117" i="4"/>
  <c r="S178" i="4" s="1"/>
  <c r="U116" i="4"/>
  <c r="K116" i="4"/>
  <c r="K115" i="4"/>
  <c r="S115" i="4" s="1"/>
  <c r="U114" i="4"/>
  <c r="K114" i="4"/>
  <c r="U113" i="4"/>
  <c r="K113" i="4"/>
  <c r="S174" i="4" s="1"/>
  <c r="K112" i="4"/>
  <c r="S112" i="4" s="1"/>
  <c r="U111" i="4"/>
  <c r="K111" i="4"/>
  <c r="U110" i="4"/>
  <c r="K110" i="4"/>
  <c r="S171" i="4" s="1"/>
  <c r="K109" i="4"/>
  <c r="K108" i="4"/>
  <c r="S108" i="4" s="1"/>
  <c r="K107" i="4"/>
  <c r="S107" i="4" s="1"/>
  <c r="K106" i="4"/>
  <c r="S167" i="4" s="1"/>
  <c r="K105" i="4"/>
  <c r="S105" i="4" s="1"/>
  <c r="K104" i="4"/>
  <c r="S165" i="4" s="1"/>
  <c r="K103" i="4"/>
  <c r="S103" i="4" s="1"/>
  <c r="K102" i="4"/>
  <c r="S102" i="4" s="1"/>
  <c r="K101" i="4"/>
  <c r="S162" i="4" s="1"/>
  <c r="K100" i="4"/>
  <c r="S161" i="4" s="1"/>
  <c r="K99" i="4"/>
  <c r="S160" i="4" s="1"/>
  <c r="K98" i="4"/>
  <c r="S98" i="4" s="1"/>
  <c r="K97" i="4"/>
  <c r="S97" i="4" s="1"/>
  <c r="K96" i="4"/>
  <c r="K95" i="4"/>
  <c r="S156" i="4" s="1"/>
  <c r="K94" i="4"/>
  <c r="S155" i="4" s="1"/>
  <c r="K93" i="4"/>
  <c r="S154" i="4" s="1"/>
  <c r="K92" i="4"/>
  <c r="S92" i="4" s="1"/>
  <c r="K91" i="4"/>
  <c r="P85" i="4"/>
  <c r="O85" i="4"/>
  <c r="L85" i="4"/>
  <c r="K85" i="4"/>
  <c r="P84" i="4"/>
  <c r="O84" i="4"/>
  <c r="L84" i="4"/>
  <c r="K84" i="4"/>
  <c r="P83" i="4"/>
  <c r="O83" i="4"/>
  <c r="L83" i="4"/>
  <c r="K83" i="4"/>
  <c r="P82" i="4"/>
  <c r="O82" i="4"/>
  <c r="L82" i="4"/>
  <c r="K82" i="4"/>
  <c r="P81" i="4"/>
  <c r="O81" i="4"/>
  <c r="L81" i="4"/>
  <c r="K81" i="4"/>
  <c r="P80" i="4"/>
  <c r="O80" i="4"/>
  <c r="L80" i="4"/>
  <c r="K80" i="4"/>
  <c r="P79" i="4"/>
  <c r="O79" i="4"/>
  <c r="L79" i="4"/>
  <c r="K79" i="4"/>
  <c r="P78" i="4"/>
  <c r="O78" i="4"/>
  <c r="L78" i="4"/>
  <c r="K78" i="4"/>
  <c r="P77" i="4"/>
  <c r="O77" i="4"/>
  <c r="L77" i="4"/>
  <c r="K77" i="4"/>
  <c r="P76" i="4"/>
  <c r="O76" i="4"/>
  <c r="L76" i="4"/>
  <c r="K76" i="4"/>
  <c r="P75" i="4"/>
  <c r="O75" i="4"/>
  <c r="L75" i="4"/>
  <c r="K75" i="4"/>
  <c r="P74" i="4"/>
  <c r="O74" i="4"/>
  <c r="L74" i="4"/>
  <c r="K74" i="4"/>
  <c r="P73" i="4"/>
  <c r="O73" i="4"/>
  <c r="L73" i="4"/>
  <c r="K73" i="4"/>
  <c r="P72" i="4"/>
  <c r="O72" i="4"/>
  <c r="L72" i="4"/>
  <c r="K72" i="4"/>
  <c r="P71" i="4"/>
  <c r="O71" i="4"/>
  <c r="L71" i="4"/>
  <c r="K71" i="4"/>
  <c r="P70" i="4"/>
  <c r="O70" i="4"/>
  <c r="L70" i="4"/>
  <c r="K70" i="4"/>
  <c r="P69" i="4"/>
  <c r="O69" i="4"/>
  <c r="L69" i="4"/>
  <c r="K69" i="4"/>
  <c r="P68" i="4"/>
  <c r="O68" i="4"/>
  <c r="L68" i="4"/>
  <c r="K68" i="4"/>
  <c r="P67" i="4"/>
  <c r="O67" i="4"/>
  <c r="L67" i="4"/>
  <c r="K67" i="4"/>
  <c r="P66" i="4"/>
  <c r="O66" i="4"/>
  <c r="L66" i="4"/>
  <c r="K66" i="4"/>
  <c r="P65" i="4"/>
  <c r="O65" i="4"/>
  <c r="L65" i="4"/>
  <c r="K65" i="4"/>
  <c r="P64" i="4"/>
  <c r="O64" i="4"/>
  <c r="L64" i="4"/>
  <c r="K64" i="4"/>
  <c r="P63" i="4"/>
  <c r="O63" i="4"/>
  <c r="L63" i="4"/>
  <c r="K63" i="4"/>
  <c r="P62" i="4"/>
  <c r="O62" i="4"/>
  <c r="L62" i="4"/>
  <c r="K62" i="4"/>
  <c r="P61" i="4"/>
  <c r="O61" i="4"/>
  <c r="L61" i="4"/>
  <c r="K61" i="4"/>
  <c r="P60" i="4"/>
  <c r="O60" i="4"/>
  <c r="L60" i="4"/>
  <c r="K60" i="4"/>
  <c r="P59" i="4"/>
  <c r="O59" i="4"/>
  <c r="L59" i="4"/>
  <c r="K59" i="4"/>
  <c r="P58" i="4"/>
  <c r="O58" i="4"/>
  <c r="L58" i="4"/>
  <c r="K58" i="4"/>
  <c r="P57" i="4"/>
  <c r="O57" i="4"/>
  <c r="L57" i="4"/>
  <c r="K57" i="4"/>
  <c r="P56" i="4"/>
  <c r="O56" i="4"/>
  <c r="L56" i="4"/>
  <c r="K56" i="4"/>
  <c r="P55" i="4"/>
  <c r="O55" i="4"/>
  <c r="L55" i="4"/>
  <c r="K55" i="4"/>
  <c r="P54" i="4"/>
  <c r="O54" i="4"/>
  <c r="L54" i="4"/>
  <c r="K54" i="4"/>
  <c r="P53" i="4"/>
  <c r="O53" i="4"/>
  <c r="L53" i="4"/>
  <c r="K53" i="4"/>
  <c r="P52" i="4"/>
  <c r="O52" i="4"/>
  <c r="L52" i="4"/>
  <c r="K52" i="4"/>
  <c r="P51" i="4"/>
  <c r="O51" i="4"/>
  <c r="L51" i="4"/>
  <c r="K51" i="4"/>
  <c r="P50" i="4"/>
  <c r="O50" i="4"/>
  <c r="L50" i="4"/>
  <c r="K50" i="4"/>
  <c r="P49" i="4"/>
  <c r="O49" i="4"/>
  <c r="L49" i="4"/>
  <c r="K49" i="4"/>
  <c r="P48" i="4"/>
  <c r="O48" i="4"/>
  <c r="L48" i="4"/>
  <c r="K48" i="4"/>
  <c r="P47" i="4"/>
  <c r="O47" i="4"/>
  <c r="L47" i="4"/>
  <c r="K47" i="4"/>
  <c r="P46" i="4"/>
  <c r="O46" i="4"/>
  <c r="L46" i="4"/>
  <c r="K46" i="4"/>
  <c r="P45" i="4"/>
  <c r="O45" i="4"/>
  <c r="L45" i="4"/>
  <c r="K45" i="4"/>
  <c r="P44" i="4"/>
  <c r="O44" i="4"/>
  <c r="L44" i="4"/>
  <c r="K44" i="4"/>
  <c r="P43" i="4"/>
  <c r="O43" i="4"/>
  <c r="L43" i="4"/>
  <c r="K43" i="4"/>
  <c r="P42" i="4"/>
  <c r="O42" i="4"/>
  <c r="L42" i="4"/>
  <c r="K42" i="4"/>
  <c r="P41" i="4"/>
  <c r="O41" i="4"/>
  <c r="L41" i="4"/>
  <c r="K41" i="4"/>
  <c r="P40" i="4"/>
  <c r="O40" i="4"/>
  <c r="L40" i="4"/>
  <c r="K40" i="4"/>
  <c r="P39" i="4"/>
  <c r="O39" i="4"/>
  <c r="L39" i="4"/>
  <c r="K39" i="4"/>
  <c r="P38" i="4"/>
  <c r="O38" i="4"/>
  <c r="L38" i="4"/>
  <c r="K38" i="4"/>
  <c r="P37" i="4"/>
  <c r="O37" i="4"/>
  <c r="L37" i="4"/>
  <c r="K37" i="4"/>
  <c r="P36" i="4"/>
  <c r="O36" i="4"/>
  <c r="L36" i="4"/>
  <c r="K36" i="4"/>
  <c r="G36" i="4"/>
  <c r="P35" i="4"/>
  <c r="O35" i="4"/>
  <c r="L35" i="4"/>
  <c r="K35" i="4"/>
  <c r="H35" i="4"/>
  <c r="G35" i="4"/>
  <c r="P34" i="4"/>
  <c r="O34" i="4"/>
  <c r="L34" i="4"/>
  <c r="K34" i="4"/>
  <c r="H34" i="4"/>
  <c r="G34" i="4"/>
  <c r="P33" i="4"/>
  <c r="O33" i="4"/>
  <c r="L33" i="4"/>
  <c r="K33" i="4"/>
  <c r="H33" i="4"/>
  <c r="G33" i="4"/>
  <c r="P32" i="4"/>
  <c r="O32" i="4"/>
  <c r="L32" i="4"/>
  <c r="K32" i="4"/>
  <c r="H32" i="4"/>
  <c r="G32" i="4"/>
  <c r="P31" i="4"/>
  <c r="O31" i="4"/>
  <c r="L31" i="4"/>
  <c r="K31" i="4"/>
  <c r="H31" i="4"/>
  <c r="G31" i="4"/>
  <c r="P30" i="4"/>
  <c r="O30" i="4"/>
  <c r="L30" i="4"/>
  <c r="K30" i="4"/>
  <c r="H30" i="4"/>
  <c r="G30" i="4"/>
  <c r="P29" i="4"/>
  <c r="O29" i="4"/>
  <c r="L29" i="4"/>
  <c r="K29" i="4"/>
  <c r="H29" i="4"/>
  <c r="G29" i="4"/>
  <c r="P28" i="4"/>
  <c r="O28" i="4"/>
  <c r="L28" i="4"/>
  <c r="K28" i="4"/>
  <c r="H28" i="4"/>
  <c r="G28" i="4"/>
  <c r="P27" i="4"/>
  <c r="O27" i="4"/>
  <c r="L27" i="4"/>
  <c r="K27" i="4"/>
  <c r="H27" i="4"/>
  <c r="G27" i="4"/>
  <c r="P26" i="4"/>
  <c r="O26" i="4"/>
  <c r="L26" i="4"/>
  <c r="K26" i="4"/>
  <c r="H26" i="4"/>
  <c r="G26" i="4"/>
  <c r="P25" i="4"/>
  <c r="O25" i="4"/>
  <c r="L25" i="4"/>
  <c r="K25" i="4"/>
  <c r="H25" i="4"/>
  <c r="G25" i="4"/>
  <c r="P24" i="4"/>
  <c r="O24" i="4"/>
  <c r="L24" i="4"/>
  <c r="K24" i="4"/>
  <c r="H24" i="4"/>
  <c r="G24" i="4"/>
  <c r="P23" i="4"/>
  <c r="O23" i="4"/>
  <c r="L23" i="4"/>
  <c r="K23" i="4"/>
  <c r="H23" i="4"/>
  <c r="G23" i="4"/>
  <c r="F23" i="4"/>
  <c r="P22" i="4"/>
  <c r="O22" i="4"/>
  <c r="L22" i="4"/>
  <c r="K22" i="4"/>
  <c r="H22" i="4"/>
  <c r="G22" i="4"/>
  <c r="F22" i="4"/>
  <c r="P21" i="4"/>
  <c r="O21" i="4"/>
  <c r="L21" i="4"/>
  <c r="K21" i="4"/>
  <c r="H21" i="4"/>
  <c r="G21" i="4"/>
  <c r="F21" i="4"/>
  <c r="P20" i="4"/>
  <c r="O20" i="4"/>
  <c r="L20" i="4"/>
  <c r="K20" i="4"/>
  <c r="H20" i="4"/>
  <c r="G20" i="4"/>
  <c r="F20" i="4"/>
  <c r="P19" i="4"/>
  <c r="O19" i="4"/>
  <c r="L19" i="4"/>
  <c r="K19" i="4"/>
  <c r="H19" i="4"/>
  <c r="G19" i="4"/>
  <c r="F19" i="4"/>
  <c r="P18" i="4"/>
  <c r="O18" i="4"/>
  <c r="L18" i="4"/>
  <c r="K18" i="4"/>
  <c r="H18" i="4"/>
  <c r="G18" i="4"/>
  <c r="F18" i="4"/>
  <c r="E18" i="4"/>
  <c r="B18" i="4"/>
  <c r="B19" i="4" s="1"/>
  <c r="P17" i="4"/>
  <c r="O17" i="4"/>
  <c r="L17" i="4"/>
  <c r="K17" i="4"/>
  <c r="I17" i="4"/>
  <c r="H17" i="4"/>
  <c r="G17" i="4"/>
  <c r="F17" i="4"/>
  <c r="E17" i="4"/>
  <c r="B17" i="4"/>
  <c r="P16" i="4"/>
  <c r="O16" i="4"/>
  <c r="L16" i="4"/>
  <c r="K16" i="4"/>
  <c r="I16" i="4"/>
  <c r="H16" i="4"/>
  <c r="G16" i="4"/>
  <c r="F16" i="4"/>
  <c r="E16" i="4"/>
  <c r="B16" i="4"/>
  <c r="P15" i="4"/>
  <c r="O15" i="4"/>
  <c r="L15" i="4"/>
  <c r="K15" i="4"/>
  <c r="I15" i="4"/>
  <c r="H15" i="4"/>
  <c r="G15" i="4"/>
  <c r="F15" i="4"/>
  <c r="E15" i="4"/>
  <c r="B15" i="4"/>
  <c r="P14" i="4"/>
  <c r="O14" i="4"/>
  <c r="L14" i="4"/>
  <c r="K14" i="4"/>
  <c r="I14" i="4"/>
  <c r="H14" i="4"/>
  <c r="G14" i="4"/>
  <c r="F14" i="4"/>
  <c r="E14" i="4"/>
  <c r="P13" i="4"/>
  <c r="O13" i="4"/>
  <c r="L13" i="4"/>
  <c r="K13" i="4"/>
  <c r="I13" i="4"/>
  <c r="H13" i="4"/>
  <c r="G13" i="4"/>
  <c r="F13" i="4"/>
  <c r="E13" i="4"/>
  <c r="P12" i="4"/>
  <c r="O12" i="4"/>
  <c r="L12" i="4"/>
  <c r="K12" i="4"/>
  <c r="I12" i="4"/>
  <c r="H12" i="4"/>
  <c r="G12" i="4"/>
  <c r="F12" i="4"/>
  <c r="E12" i="4"/>
  <c r="B12" i="4"/>
  <c r="B20" i="4" s="1"/>
  <c r="S429" i="4" l="1"/>
  <c r="S416" i="4"/>
  <c r="S788" i="4"/>
  <c r="I323" i="4"/>
  <c r="B417" i="4" s="1"/>
  <c r="S335" i="4"/>
  <c r="S153" i="4"/>
  <c r="S420" i="4"/>
  <c r="S422" i="4"/>
  <c r="S892" i="4"/>
  <c r="S427" i="4"/>
  <c r="S428" i="4"/>
  <c r="S163" i="4"/>
  <c r="S786" i="4"/>
  <c r="S168" i="4"/>
  <c r="S173" i="4"/>
  <c r="S387" i="4"/>
  <c r="S790" i="4"/>
  <c r="S600" i="4"/>
  <c r="O617" i="4"/>
  <c r="Q617" i="4" s="1"/>
  <c r="O618" i="4" s="1"/>
  <c r="L838" i="4"/>
  <c r="S207" i="4"/>
  <c r="L839" i="4"/>
  <c r="L571" i="4"/>
  <c r="S640" i="4"/>
  <c r="S852" i="4"/>
  <c r="S136" i="4"/>
  <c r="S853" i="4"/>
  <c r="L798" i="4"/>
  <c r="S864" i="4"/>
  <c r="S884" i="4"/>
  <c r="L800" i="4"/>
  <c r="S891" i="4"/>
  <c r="S433" i="4"/>
  <c r="S636" i="4"/>
  <c r="S608" i="4"/>
  <c r="S879" i="4"/>
  <c r="S580" i="4"/>
  <c r="B1393" i="4"/>
  <c r="S800" i="4"/>
  <c r="E1241" i="4"/>
  <c r="I92" i="4"/>
  <c r="H781" i="4"/>
  <c r="S866" i="4"/>
  <c r="L586" i="4"/>
  <c r="L783" i="4"/>
  <c r="S883" i="4"/>
  <c r="S861" i="4"/>
  <c r="L346" i="4"/>
  <c r="I785" i="4"/>
  <c r="B878" i="4" s="1"/>
  <c r="S571" i="4"/>
  <c r="S612" i="4"/>
  <c r="S888" i="4"/>
  <c r="E95" i="4"/>
  <c r="B124" i="4" s="1"/>
  <c r="S371" i="4"/>
  <c r="S613" i="4"/>
  <c r="S890" i="4"/>
  <c r="L601" i="4"/>
  <c r="B1163" i="4"/>
  <c r="H92" i="4"/>
  <c r="S126" i="4"/>
  <c r="S633" i="4"/>
  <c r="S806" i="4"/>
  <c r="F1701" i="4"/>
  <c r="S590" i="4"/>
  <c r="S186" i="4"/>
  <c r="S204" i="4"/>
  <c r="S637" i="4"/>
  <c r="S659" i="4"/>
  <c r="S205" i="4"/>
  <c r="H1015" i="4"/>
  <c r="B1090" i="4" s="1"/>
  <c r="I553" i="4"/>
  <c r="B658" i="4" s="1"/>
  <c r="L371" i="4"/>
  <c r="S386" i="4"/>
  <c r="S597" i="4"/>
  <c r="S660" i="4"/>
  <c r="F323" i="4"/>
  <c r="B371" i="4" s="1"/>
  <c r="L786" i="4"/>
  <c r="L373" i="4"/>
  <c r="S634" i="4"/>
  <c r="E1015" i="4"/>
  <c r="B1033" i="4" s="1"/>
  <c r="L356" i="4"/>
  <c r="S395" i="4"/>
  <c r="H785" i="4"/>
  <c r="B859" i="4" s="1"/>
  <c r="S813" i="4"/>
  <c r="I325" i="4"/>
  <c r="F1015" i="4"/>
  <c r="B1052" i="4" s="1"/>
  <c r="S208" i="4"/>
  <c r="S648" i="4"/>
  <c r="S650" i="4"/>
  <c r="S132" i="4"/>
  <c r="H323" i="4"/>
  <c r="B397" i="4" s="1"/>
  <c r="S435" i="4"/>
  <c r="S560" i="4"/>
  <c r="S607" i="4"/>
  <c r="S654" i="4"/>
  <c r="S784" i="4"/>
  <c r="S799" i="4"/>
  <c r="S898" i="4"/>
  <c r="S164" i="4"/>
  <c r="S362" i="4"/>
  <c r="S383" i="4"/>
  <c r="S436" i="4"/>
  <c r="S655" i="4"/>
  <c r="L810" i="4"/>
  <c r="L840" i="4"/>
  <c r="S900" i="4"/>
  <c r="F1241" i="4"/>
  <c r="H1241" i="4"/>
  <c r="S345" i="4"/>
  <c r="L820" i="4"/>
  <c r="G1013" i="4"/>
  <c r="B1068" i="4" s="1"/>
  <c r="S99" i="4"/>
  <c r="S360" i="4"/>
  <c r="L784" i="4"/>
  <c r="S839" i="4"/>
  <c r="S897" i="4"/>
  <c r="G93" i="4"/>
  <c r="B160" i="4" s="1"/>
  <c r="S166" i="4"/>
  <c r="S438" i="4"/>
  <c r="S842" i="4"/>
  <c r="S440" i="4"/>
  <c r="S844" i="4"/>
  <c r="E1471" i="4"/>
  <c r="S169" i="4"/>
  <c r="S336" i="4"/>
  <c r="S350" i="4"/>
  <c r="S364" i="4"/>
  <c r="S390" i="4"/>
  <c r="S563" i="4"/>
  <c r="S665" i="4"/>
  <c r="S811" i="4"/>
  <c r="S95" i="4"/>
  <c r="S418" i="4"/>
  <c r="S820" i="4"/>
  <c r="S797" i="4"/>
  <c r="S347" i="4"/>
  <c r="F1242" i="4"/>
  <c r="S801" i="4"/>
  <c r="S176" i="4"/>
  <c r="I321" i="4"/>
  <c r="S338" i="4"/>
  <c r="S351" i="4"/>
  <c r="S393" i="4"/>
  <c r="S565" i="4"/>
  <c r="S578" i="4"/>
  <c r="S616" i="4"/>
  <c r="L829" i="4"/>
  <c r="I1014" i="4"/>
  <c r="B1112" i="4" s="1"/>
  <c r="V1042" i="4" s="1"/>
  <c r="S106" i="4"/>
  <c r="S121" i="4"/>
  <c r="S181" i="4"/>
  <c r="I322" i="4"/>
  <c r="S339" i="4"/>
  <c r="S352" i="4"/>
  <c r="S802" i="4"/>
  <c r="L830" i="4"/>
  <c r="S855" i="4"/>
  <c r="S139" i="4"/>
  <c r="F94" i="4"/>
  <c r="B135" i="4" s="1"/>
  <c r="V113" i="4" s="1"/>
  <c r="S567" i="4"/>
  <c r="S619" i="4"/>
  <c r="L790" i="4"/>
  <c r="L803" i="4"/>
  <c r="S113" i="4"/>
  <c r="S815" i="4"/>
  <c r="E1475" i="4"/>
  <c r="B1492" i="4" s="1"/>
  <c r="S123" i="4"/>
  <c r="S192" i="4"/>
  <c r="I324" i="4"/>
  <c r="B423" i="4" s="1"/>
  <c r="V353" i="4" s="1"/>
  <c r="S370" i="4"/>
  <c r="E551" i="4"/>
  <c r="S804" i="4"/>
  <c r="S832" i="4"/>
  <c r="G1471" i="4"/>
  <c r="H783" i="4"/>
  <c r="B858" i="4" s="1"/>
  <c r="S128" i="4"/>
  <c r="S807" i="4"/>
  <c r="S783" i="4"/>
  <c r="S159" i="4"/>
  <c r="S574" i="4"/>
  <c r="S100" i="4"/>
  <c r="S392" i="4"/>
  <c r="S179" i="4"/>
  <c r="F554" i="4"/>
  <c r="B595" i="4" s="1"/>
  <c r="V573" i="4" s="1"/>
  <c r="S188" i="4"/>
  <c r="L353" i="4"/>
  <c r="S623" i="4"/>
  <c r="S342" i="4"/>
  <c r="S354" i="4"/>
  <c r="S570" i="4"/>
  <c r="S582" i="4"/>
  <c r="S629" i="4"/>
  <c r="S870" i="4"/>
  <c r="G1474" i="4"/>
  <c r="B1534" i="4" s="1"/>
  <c r="V1496" i="4" s="1"/>
  <c r="G323" i="4"/>
  <c r="B390" i="4" s="1"/>
  <c r="S358" i="4"/>
  <c r="S391" i="4"/>
  <c r="I1703" i="4"/>
  <c r="B1808" i="4" s="1"/>
  <c r="I1012" i="4"/>
  <c r="G91" i="4"/>
  <c r="L368" i="4"/>
  <c r="I93" i="4"/>
  <c r="S569" i="4"/>
  <c r="L792" i="4"/>
  <c r="S606" i="4"/>
  <c r="S94" i="4"/>
  <c r="S145" i="4"/>
  <c r="S414" i="4"/>
  <c r="B711" i="4"/>
  <c r="B712" i="4" s="1"/>
  <c r="B105" i="3" s="1"/>
  <c r="B796" i="4" s="1"/>
  <c r="L818" i="4"/>
  <c r="S584" i="4"/>
  <c r="L836" i="4"/>
  <c r="S149" i="4"/>
  <c r="L807" i="4"/>
  <c r="F1014" i="4"/>
  <c r="B1055" i="4" s="1"/>
  <c r="V1033" i="4" s="1"/>
  <c r="G1011" i="4"/>
  <c r="S557" i="4"/>
  <c r="H784" i="4"/>
  <c r="B863" i="4" s="1"/>
  <c r="V809" i="4" s="1"/>
  <c r="S588" i="4"/>
  <c r="H1473" i="4"/>
  <c r="B1548" i="4" s="1"/>
  <c r="G324" i="4"/>
  <c r="B385" i="4" s="1"/>
  <c r="V347" i="4" s="1"/>
  <c r="H91" i="4"/>
  <c r="S402" i="4"/>
  <c r="L815" i="4"/>
  <c r="L806" i="4"/>
  <c r="S835" i="4"/>
  <c r="S877" i="4"/>
  <c r="L141" i="4"/>
  <c r="L101" i="4"/>
  <c r="L108" i="4"/>
  <c r="L134" i="4"/>
  <c r="L93" i="4"/>
  <c r="L117" i="4"/>
  <c r="B21" i="4"/>
  <c r="B22" i="4" s="1"/>
  <c r="B9" i="3" s="1"/>
  <c r="B106" i="4" s="1"/>
  <c r="L129" i="4"/>
  <c r="S382" i="4"/>
  <c r="S321" i="4"/>
  <c r="L110" i="4"/>
  <c r="L321" i="4"/>
  <c r="H554" i="4"/>
  <c r="H553" i="4"/>
  <c r="H555" i="4"/>
  <c r="H551" i="4"/>
  <c r="H552" i="4"/>
  <c r="S110" i="4"/>
  <c r="S119" i="4"/>
  <c r="L140" i="4"/>
  <c r="B360" i="4"/>
  <c r="B363" i="4"/>
  <c r="S141" i="4"/>
  <c r="S202" i="4"/>
  <c r="S404" i="4"/>
  <c r="S343" i="4"/>
  <c r="L92" i="4"/>
  <c r="S190" i="4"/>
  <c r="S129" i="4"/>
  <c r="B420" i="4"/>
  <c r="B428" i="4"/>
  <c r="S384" i="4"/>
  <c r="S323" i="4"/>
  <c r="S394" i="4"/>
  <c r="S333" i="4"/>
  <c r="S363" i="4"/>
  <c r="S424" i="4"/>
  <c r="S437" i="4"/>
  <c r="S376" i="4"/>
  <c r="L102" i="4"/>
  <c r="L112" i="4"/>
  <c r="L323" i="4"/>
  <c r="L376" i="4"/>
  <c r="S583" i="4"/>
  <c r="S644" i="4"/>
  <c r="S880" i="4"/>
  <c r="S819" i="4"/>
  <c r="L819" i="4"/>
  <c r="L581" i="4"/>
  <c r="S201" i="4"/>
  <c r="S140" i="4"/>
  <c r="S434" i="4"/>
  <c r="S373" i="4"/>
  <c r="B473" i="4"/>
  <c r="S622" i="4"/>
  <c r="S561" i="4"/>
  <c r="S581" i="4"/>
  <c r="S198" i="4"/>
  <c r="L343" i="4"/>
  <c r="S158" i="4"/>
  <c r="L563" i="4"/>
  <c r="B481" i="4"/>
  <c r="B482" i="4" s="1"/>
  <c r="B73" i="3" s="1"/>
  <c r="B566" i="4" s="1"/>
  <c r="L599" i="4"/>
  <c r="H782" i="4"/>
  <c r="L94" i="4"/>
  <c r="L121" i="4"/>
  <c r="L833" i="4"/>
  <c r="S426" i="4"/>
  <c r="S365" i="4"/>
  <c r="S566" i="4"/>
  <c r="S627" i="4"/>
  <c r="H1704" i="4"/>
  <c r="H1703" i="4"/>
  <c r="H1702" i="4"/>
  <c r="H1701" i="4"/>
  <c r="H1705" i="4"/>
  <c r="B243" i="4"/>
  <c r="S553" i="4"/>
  <c r="S821" i="4"/>
  <c r="L821" i="4"/>
  <c r="S882" i="4"/>
  <c r="S133" i="4"/>
  <c r="S194" i="4"/>
  <c r="L146" i="4"/>
  <c r="E322" i="4"/>
  <c r="E324" i="4"/>
  <c r="E323" i="4"/>
  <c r="E321" i="4"/>
  <c r="E325" i="4"/>
  <c r="S209" i="4"/>
  <c r="S833" i="4"/>
  <c r="P387" i="4"/>
  <c r="O387" i="4"/>
  <c r="E783" i="4"/>
  <c r="E781" i="4"/>
  <c r="E784" i="4"/>
  <c r="S441" i="4"/>
  <c r="S380" i="4"/>
  <c r="G781" i="4"/>
  <c r="S122" i="4"/>
  <c r="S183" i="4"/>
  <c r="L566" i="4"/>
  <c r="I1705" i="4"/>
  <c r="L98" i="4"/>
  <c r="F95" i="4"/>
  <c r="F91" i="4"/>
  <c r="F92" i="4"/>
  <c r="F93" i="4"/>
  <c r="E91" i="4"/>
  <c r="E93" i="4"/>
  <c r="S417" i="4"/>
  <c r="S356" i="4"/>
  <c r="G551" i="4"/>
  <c r="G554" i="4"/>
  <c r="S808" i="4"/>
  <c r="L808" i="4"/>
  <c r="S869" i="4"/>
  <c r="L106" i="4"/>
  <c r="L116" i="4"/>
  <c r="L97" i="4"/>
  <c r="S328" i="4"/>
  <c r="S389" i="4"/>
  <c r="S340" i="4"/>
  <c r="S401" i="4"/>
  <c r="L107" i="4"/>
  <c r="L137" i="4"/>
  <c r="L328" i="4"/>
  <c r="L348" i="4"/>
  <c r="L125" i="4"/>
  <c r="S410" i="4"/>
  <c r="S349" i="4"/>
  <c r="S409" i="4"/>
  <c r="S652" i="4"/>
  <c r="S591" i="4"/>
  <c r="B251" i="4"/>
  <c r="B252" i="4" s="1"/>
  <c r="B41" i="3" s="1"/>
  <c r="B336" i="4" s="1"/>
  <c r="L334" i="4"/>
  <c r="L372" i="4"/>
  <c r="L367" i="4"/>
  <c r="L337" i="4"/>
  <c r="L332" i="4"/>
  <c r="L362" i="4"/>
  <c r="L349" i="4"/>
  <c r="L322" i="4"/>
  <c r="L379" i="4"/>
  <c r="L347" i="4"/>
  <c r="L374" i="4"/>
  <c r="L350" i="4"/>
  <c r="L345" i="4"/>
  <c r="L361" i="4"/>
  <c r="L355" i="4"/>
  <c r="L380" i="4"/>
  <c r="L340" i="4"/>
  <c r="L360" i="4"/>
  <c r="L339" i="4"/>
  <c r="L326" i="4"/>
  <c r="L336" i="4"/>
  <c r="L357" i="4"/>
  <c r="L342" i="4"/>
  <c r="L370" i="4"/>
  <c r="L330" i="4"/>
  <c r="L351" i="4"/>
  <c r="L375" i="4"/>
  <c r="L366" i="4"/>
  <c r="L331" i="4"/>
  <c r="L325" i="4"/>
  <c r="L358" i="4"/>
  <c r="L344" i="4"/>
  <c r="L338" i="4"/>
  <c r="L365" i="4"/>
  <c r="L329" i="4"/>
  <c r="L335" i="4"/>
  <c r="L378" i="4"/>
  <c r="L341" i="4"/>
  <c r="L354" i="4"/>
  <c r="L369" i="4"/>
  <c r="L327" i="4"/>
  <c r="S653" i="4"/>
  <c r="S592" i="4"/>
  <c r="L144" i="4"/>
  <c r="S185" i="4"/>
  <c r="S124" i="4"/>
  <c r="H322" i="4"/>
  <c r="H325" i="4"/>
  <c r="H321" i="4"/>
  <c r="H324" i="4"/>
  <c r="S812" i="4"/>
  <c r="L812" i="4"/>
  <c r="S873" i="4"/>
  <c r="L124" i="4"/>
  <c r="L148" i="4"/>
  <c r="F325" i="4"/>
  <c r="B1623" i="4"/>
  <c r="L603" i="4"/>
  <c r="L572" i="4"/>
  <c r="L573" i="4"/>
  <c r="L597" i="4"/>
  <c r="L567" i="4"/>
  <c r="L562" i="4"/>
  <c r="L606" i="4"/>
  <c r="L592" i="4"/>
  <c r="L583" i="4"/>
  <c r="L579" i="4"/>
  <c r="L575" i="4"/>
  <c r="L587" i="4"/>
  <c r="L558" i="4"/>
  <c r="L555" i="4"/>
  <c r="L608" i="4"/>
  <c r="L569" i="4"/>
  <c r="L564" i="4"/>
  <c r="L598" i="4"/>
  <c r="L589" i="4"/>
  <c r="L604" i="4"/>
  <c r="L576" i="4"/>
  <c r="L591" i="4"/>
  <c r="L609" i="4"/>
  <c r="L565" i="4"/>
  <c r="L585" i="4"/>
  <c r="L602" i="4"/>
  <c r="L596" i="4"/>
  <c r="L590" i="4"/>
  <c r="L574" i="4"/>
  <c r="L600" i="4"/>
  <c r="L557" i="4"/>
  <c r="L594" i="4"/>
  <c r="L561" i="4"/>
  <c r="L553" i="4"/>
  <c r="L593" i="4"/>
  <c r="L584" i="4"/>
  <c r="L578" i="4"/>
  <c r="L607" i="4"/>
  <c r="L552" i="4"/>
  <c r="L551" i="4"/>
  <c r="L605" i="4"/>
  <c r="L582" i="4"/>
  <c r="L588" i="4"/>
  <c r="L610" i="4"/>
  <c r="L580" i="4"/>
  <c r="L554" i="4"/>
  <c r="L568" i="4"/>
  <c r="L560" i="4"/>
  <c r="L595" i="4"/>
  <c r="E553" i="4"/>
  <c r="E554" i="4"/>
  <c r="E552" i="4"/>
  <c r="E555" i="4"/>
  <c r="S564" i="4"/>
  <c r="S625" i="4"/>
  <c r="S846" i="4"/>
  <c r="S785" i="4"/>
  <c r="L785" i="4"/>
  <c r="S554" i="4"/>
  <c r="S615" i="4"/>
  <c r="O847" i="4"/>
  <c r="P847" i="4"/>
  <c r="P157" i="4"/>
  <c r="O157" i="4"/>
  <c r="S93" i="4"/>
  <c r="S104" i="4"/>
  <c r="S327" i="4"/>
  <c r="S378" i="4"/>
  <c r="F551" i="4"/>
  <c r="F552" i="4"/>
  <c r="F553" i="4"/>
  <c r="F555" i="4"/>
  <c r="S556" i="4"/>
  <c r="S617" i="4"/>
  <c r="E1013" i="4"/>
  <c r="E1012" i="4"/>
  <c r="S369" i="4"/>
  <c r="S430" i="4"/>
  <c r="I554" i="4"/>
  <c r="S793" i="4"/>
  <c r="S854" i="4"/>
  <c r="L793" i="4"/>
  <c r="E92" i="4"/>
  <c r="L126" i="4"/>
  <c r="L119" i="4"/>
  <c r="L104" i="4"/>
  <c r="L139" i="4"/>
  <c r="L115" i="4"/>
  <c r="L103" i="4"/>
  <c r="L99" i="4"/>
  <c r="L143" i="4"/>
  <c r="L130" i="4"/>
  <c r="L122" i="4"/>
  <c r="L118" i="4"/>
  <c r="L111" i="4"/>
  <c r="L96" i="4"/>
  <c r="L142" i="4"/>
  <c r="L114" i="4"/>
  <c r="L132" i="4"/>
  <c r="L113" i="4"/>
  <c r="L105" i="4"/>
  <c r="L149" i="4"/>
  <c r="L120" i="4"/>
  <c r="L136" i="4"/>
  <c r="L100" i="4"/>
  <c r="L95" i="4"/>
  <c r="L145" i="4"/>
  <c r="L128" i="4"/>
  <c r="L123" i="4"/>
  <c r="L109" i="4"/>
  <c r="L150" i="4"/>
  <c r="L133" i="4"/>
  <c r="L91" i="4"/>
  <c r="L147" i="4"/>
  <c r="E94" i="4"/>
  <c r="S117" i="4"/>
  <c r="L131" i="4"/>
  <c r="L138" i="4"/>
  <c r="G555" i="4"/>
  <c r="G552" i="4"/>
  <c r="G553" i="4"/>
  <c r="L556" i="4"/>
  <c r="G785" i="4"/>
  <c r="G782" i="4"/>
  <c r="G783" i="4"/>
  <c r="G784" i="4"/>
  <c r="F324" i="4"/>
  <c r="S405" i="4"/>
  <c r="S344" i="4"/>
  <c r="G322" i="4"/>
  <c r="F783" i="4"/>
  <c r="B703" i="4"/>
  <c r="S850" i="4"/>
  <c r="S789" i="4"/>
  <c r="E1244" i="4"/>
  <c r="E1243" i="4"/>
  <c r="E1242" i="4"/>
  <c r="H1471" i="4"/>
  <c r="S101" i="4"/>
  <c r="L127" i="4"/>
  <c r="L135" i="4"/>
  <c r="S577" i="4"/>
  <c r="S638" i="4"/>
  <c r="S585" i="4"/>
  <c r="S646" i="4"/>
  <c r="S596" i="4"/>
  <c r="F1012" i="4"/>
  <c r="E1473" i="4"/>
  <c r="G95" i="4"/>
  <c r="S175" i="4"/>
  <c r="S114" i="4"/>
  <c r="S142" i="4"/>
  <c r="S203" i="4"/>
  <c r="S324" i="4"/>
  <c r="S595" i="4"/>
  <c r="S656" i="4"/>
  <c r="S666" i="4"/>
  <c r="S605" i="4"/>
  <c r="H1011" i="4"/>
  <c r="H1014" i="4"/>
  <c r="H1013" i="4"/>
  <c r="S91" i="4"/>
  <c r="S152" i="4"/>
  <c r="L577" i="4"/>
  <c r="S889" i="4"/>
  <c r="S828" i="4"/>
  <c r="L828" i="4"/>
  <c r="H1012" i="4"/>
  <c r="F1471" i="4"/>
  <c r="S886" i="4"/>
  <c r="S825" i="4"/>
  <c r="S196" i="4"/>
  <c r="S135" i="4"/>
  <c r="L559" i="4"/>
  <c r="G92" i="4"/>
  <c r="S150" i="4"/>
  <c r="S211" i="4"/>
  <c r="S346" i="4"/>
  <c r="S407" i="4"/>
  <c r="I552" i="4"/>
  <c r="L570" i="4"/>
  <c r="S586" i="4"/>
  <c r="S647" i="4"/>
  <c r="G1473" i="4"/>
  <c r="E1702" i="4"/>
  <c r="E1701" i="4"/>
  <c r="E1703" i="4"/>
  <c r="E1705" i="4"/>
  <c r="E1704" i="4"/>
  <c r="S96" i="4"/>
  <c r="S157" i="4"/>
  <c r="H94" i="4"/>
  <c r="H95" i="4"/>
  <c r="S111" i="4"/>
  <c r="S172" i="4"/>
  <c r="S191" i="4"/>
  <c r="S130" i="4"/>
  <c r="S671" i="4"/>
  <c r="S610" i="4"/>
  <c r="S843" i="4"/>
  <c r="S782" i="4"/>
  <c r="I94" i="4"/>
  <c r="I91" i="4"/>
  <c r="I95" i="4"/>
  <c r="H93" i="4"/>
  <c r="S663" i="4"/>
  <c r="L795" i="4"/>
  <c r="S848" i="4"/>
  <c r="H1245" i="4"/>
  <c r="G94" i="4"/>
  <c r="L787" i="4"/>
  <c r="F1243" i="4"/>
  <c r="F1245" i="4"/>
  <c r="B13" i="4"/>
  <c r="S177" i="4"/>
  <c r="S116" i="4"/>
  <c r="S810" i="4"/>
  <c r="S871" i="4"/>
  <c r="S895" i="4"/>
  <c r="F1703" i="4"/>
  <c r="F1702" i="4"/>
  <c r="F1704" i="4"/>
  <c r="S199" i="4"/>
  <c r="I1245" i="4"/>
  <c r="G1701" i="4"/>
  <c r="G1702" i="4"/>
  <c r="G1703" i="4"/>
  <c r="G1704" i="4"/>
  <c r="B933" i="4"/>
  <c r="I1472" i="4"/>
  <c r="I1473" i="4"/>
  <c r="I1475" i="4"/>
  <c r="I1474" i="4"/>
  <c r="I1471" i="4"/>
  <c r="G1705" i="4"/>
  <c r="S170" i="4"/>
  <c r="S109" i="4"/>
  <c r="G321" i="4"/>
  <c r="G325" i="4"/>
  <c r="E1245" i="4"/>
  <c r="S875" i="4"/>
  <c r="S814" i="4"/>
  <c r="L814" i="4"/>
  <c r="S856" i="4"/>
  <c r="H1472" i="4"/>
  <c r="H1474" i="4"/>
  <c r="H1475" i="4"/>
  <c r="F1705" i="4"/>
  <c r="S887" i="4"/>
  <c r="S824" i="4"/>
  <c r="S885" i="4"/>
  <c r="H1244" i="4"/>
  <c r="I781" i="4"/>
  <c r="I783" i="4"/>
  <c r="I784" i="4"/>
  <c r="L824" i="4"/>
  <c r="S838" i="4"/>
  <c r="S899" i="4"/>
  <c r="S817" i="4"/>
  <c r="S878" i="4"/>
  <c r="S195" i="4"/>
  <c r="F321" i="4"/>
  <c r="I1011" i="4"/>
  <c r="I1013" i="4"/>
  <c r="S901" i="4"/>
  <c r="S840" i="4"/>
  <c r="F322" i="4"/>
  <c r="L333" i="4"/>
  <c r="S620" i="4"/>
  <c r="S559" i="4"/>
  <c r="S664" i="4"/>
  <c r="F1472" i="4"/>
  <c r="F1474" i="4"/>
  <c r="I1702" i="4"/>
  <c r="I1701" i="4"/>
  <c r="I1704" i="4"/>
  <c r="I551" i="4"/>
  <c r="G1242" i="4"/>
  <c r="G1241" i="4"/>
  <c r="G1244" i="4"/>
  <c r="G1243" i="4"/>
  <c r="G1245" i="4"/>
  <c r="F1244" i="4"/>
  <c r="S859" i="4"/>
  <c r="S798" i="4"/>
  <c r="F1013" i="4"/>
  <c r="S398" i="4"/>
  <c r="I782" i="4"/>
  <c r="G1015" i="4"/>
  <c r="I1241" i="4"/>
  <c r="I1242" i="4"/>
  <c r="I1243" i="4"/>
  <c r="I1244" i="4"/>
  <c r="L799" i="4"/>
  <c r="L825" i="4"/>
  <c r="L831" i="4"/>
  <c r="E785" i="4"/>
  <c r="E782" i="4"/>
  <c r="E1011" i="4"/>
  <c r="E1014" i="4"/>
  <c r="S609" i="4"/>
  <c r="S670" i="4"/>
  <c r="F781" i="4"/>
  <c r="F785" i="4"/>
  <c r="F784" i="4"/>
  <c r="F782" i="4"/>
  <c r="L826" i="4"/>
  <c r="L834" i="4"/>
  <c r="L791" i="4"/>
  <c r="L788" i="4"/>
  <c r="L816" i="4"/>
  <c r="L809" i="4"/>
  <c r="L794" i="4"/>
  <c r="L782" i="4"/>
  <c r="L835" i="4"/>
  <c r="L804" i="4"/>
  <c r="L781" i="4"/>
  <c r="L837" i="4"/>
  <c r="L832" i="4"/>
  <c r="L805" i="4"/>
  <c r="L813" i="4"/>
  <c r="L801" i="4"/>
  <c r="L796" i="4"/>
  <c r="L822" i="4"/>
  <c r="L827" i="4"/>
  <c r="L817" i="4"/>
  <c r="L811" i="4"/>
  <c r="L789" i="4"/>
  <c r="L797" i="4"/>
  <c r="L802" i="4"/>
  <c r="L823" i="4"/>
  <c r="F1011" i="4"/>
  <c r="H1243" i="4"/>
  <c r="H1242" i="4"/>
  <c r="F1473" i="4"/>
  <c r="I555" i="4"/>
  <c r="G1472" i="4"/>
  <c r="L324" i="4"/>
  <c r="L363" i="4"/>
  <c r="L359" i="4"/>
  <c r="L364" i="4"/>
  <c r="S601" i="4"/>
  <c r="S857" i="4"/>
  <c r="L352" i="4"/>
  <c r="L377" i="4"/>
  <c r="F1475" i="4"/>
  <c r="I1015" i="4"/>
  <c r="G1475" i="4"/>
  <c r="G1012" i="4"/>
  <c r="E1472" i="4"/>
  <c r="G1014" i="4"/>
  <c r="E1474" i="4"/>
  <c r="B416" i="4" l="1"/>
  <c r="B1394" i="4"/>
  <c r="B201" i="2" s="1"/>
  <c r="B1164" i="4"/>
  <c r="B169" i="2" s="1"/>
  <c r="I326" i="4"/>
  <c r="I328" i="4" s="1"/>
  <c r="I330" i="4" s="1"/>
  <c r="B431" i="4" s="1"/>
  <c r="B1101" i="4"/>
  <c r="B1089" i="4"/>
  <c r="Q157" i="4"/>
  <c r="O158" i="4" s="1"/>
  <c r="I786" i="4"/>
  <c r="I788" i="4" s="1"/>
  <c r="I790" i="4" s="1"/>
  <c r="B893" i="4" s="1"/>
  <c r="B1056" i="4"/>
  <c r="V1034" i="4" s="1"/>
  <c r="B879" i="4"/>
  <c r="H1016" i="4"/>
  <c r="H1018" i="4" s="1"/>
  <c r="H1020" i="4" s="1"/>
  <c r="B1103" i="4" s="1"/>
  <c r="B890" i="4"/>
  <c r="B359" i="4"/>
  <c r="B419" i="4"/>
  <c r="B418" i="4"/>
  <c r="B149" i="4"/>
  <c r="B857" i="4"/>
  <c r="B148" i="4"/>
  <c r="B869" i="4"/>
  <c r="B861" i="4"/>
  <c r="B1113" i="4"/>
  <c r="V1043" i="4" s="1"/>
  <c r="B1051" i="4"/>
  <c r="B430" i="4"/>
  <c r="B1063" i="4"/>
  <c r="B1796" i="4"/>
  <c r="P618" i="4"/>
  <c r="Q618" i="4" s="1"/>
  <c r="B1797" i="4"/>
  <c r="B1800" i="4"/>
  <c r="B871" i="4"/>
  <c r="H786" i="4"/>
  <c r="H787" i="4" s="1"/>
  <c r="H789" i="4" s="1"/>
  <c r="B866" i="4" s="1"/>
  <c r="B1032" i="4"/>
  <c r="B1044" i="4"/>
  <c r="B596" i="4"/>
  <c r="V574" i="4" s="1"/>
  <c r="B112" i="4"/>
  <c r="B860" i="4"/>
  <c r="B650" i="4"/>
  <c r="B422" i="4"/>
  <c r="V352" i="4" s="1"/>
  <c r="B647" i="4"/>
  <c r="B113" i="4"/>
  <c r="B136" i="4"/>
  <c r="V114" i="4" s="1"/>
  <c r="B646" i="4"/>
  <c r="E1016" i="4"/>
  <c r="E1018" i="4" s="1"/>
  <c r="E1020" i="4" s="1"/>
  <c r="B1046" i="4" s="1"/>
  <c r="B398" i="4"/>
  <c r="B1551" i="4"/>
  <c r="B1559" i="4"/>
  <c r="I327" i="4"/>
  <c r="I329" i="4" s="1"/>
  <c r="B426" i="4" s="1"/>
  <c r="B1547" i="4"/>
  <c r="B1493" i="4"/>
  <c r="B1504" i="4"/>
  <c r="B409" i="4"/>
  <c r="B401" i="4"/>
  <c r="B384" i="4"/>
  <c r="V346" i="4" s="1"/>
  <c r="B378" i="4"/>
  <c r="B379" i="4"/>
  <c r="B190" i="4"/>
  <c r="B198" i="4"/>
  <c r="B186" i="4"/>
  <c r="B382" i="4"/>
  <c r="B1535" i="4"/>
  <c r="V1497" i="4" s="1"/>
  <c r="B1072" i="4"/>
  <c r="B187" i="4"/>
  <c r="B152" i="4"/>
  <c r="B1080" i="4"/>
  <c r="B864" i="4"/>
  <c r="V810" i="4" s="1"/>
  <c r="B1069" i="4"/>
  <c r="B200" i="4"/>
  <c r="B189" i="4"/>
  <c r="B188" i="4"/>
  <c r="I96" i="4"/>
  <c r="I97" i="4" s="1"/>
  <c r="I99" i="4" s="1"/>
  <c r="B193" i="4"/>
  <c r="V123" i="4" s="1"/>
  <c r="B192" i="4"/>
  <c r="V122" i="4" s="1"/>
  <c r="B891" i="4"/>
  <c r="B1745" i="4"/>
  <c r="V1723" i="4" s="1"/>
  <c r="B1746" i="4"/>
  <c r="V1724" i="4" s="1"/>
  <c r="E556" i="4"/>
  <c r="E557" i="4" s="1"/>
  <c r="E559" i="4" s="1"/>
  <c r="B573" i="4"/>
  <c r="B584" i="4"/>
  <c r="B572" i="4"/>
  <c r="B411" i="4"/>
  <c r="H326" i="4"/>
  <c r="H327" i="4" s="1"/>
  <c r="H329" i="4" s="1"/>
  <c r="B400" i="4"/>
  <c r="B399" i="4"/>
  <c r="B1561" i="4"/>
  <c r="H1476" i="4"/>
  <c r="H1477" i="4" s="1"/>
  <c r="H1479" i="4" s="1"/>
  <c r="B1549" i="4"/>
  <c r="B1550" i="4"/>
  <c r="B653" i="4"/>
  <c r="V583" i="4" s="1"/>
  <c r="B652" i="4"/>
  <c r="V582" i="4" s="1"/>
  <c r="B1531" i="4"/>
  <c r="B1542" i="4"/>
  <c r="G1476" i="4"/>
  <c r="G1477" i="4" s="1"/>
  <c r="G1479" i="4" s="1"/>
  <c r="B1530" i="4"/>
  <c r="B1337" i="4"/>
  <c r="B1336" i="4"/>
  <c r="B1348" i="4"/>
  <c r="B1340" i="4"/>
  <c r="B1554" i="4"/>
  <c r="V1500" i="4" s="1"/>
  <c r="B1553" i="4"/>
  <c r="V1499" i="4" s="1"/>
  <c r="B366" i="4"/>
  <c r="V344" i="4" s="1"/>
  <c r="B365" i="4"/>
  <c r="V343" i="4" s="1"/>
  <c r="B474" i="4"/>
  <c r="B1109" i="4"/>
  <c r="B1108" i="4"/>
  <c r="B1120" i="4"/>
  <c r="I1016" i="4"/>
  <c r="I1018" i="4" s="1"/>
  <c r="I1020" i="4" s="1"/>
  <c r="B151" i="4"/>
  <c r="B150" i="4"/>
  <c r="G96" i="4"/>
  <c r="G97" i="4" s="1"/>
  <c r="G99" i="4" s="1"/>
  <c r="B162" i="4"/>
  <c r="B1624" i="4"/>
  <c r="B233" i="2" s="1"/>
  <c r="H556" i="4"/>
  <c r="H558" i="4" s="1"/>
  <c r="H560" i="4" s="1"/>
  <c r="B641" i="4"/>
  <c r="B629" i="4"/>
  <c r="B630" i="4"/>
  <c r="B1512" i="4"/>
  <c r="F1476" i="4"/>
  <c r="F1477" i="4" s="1"/>
  <c r="F1479" i="4" s="1"/>
  <c r="B1511" i="4"/>
  <c r="B1523" i="4"/>
  <c r="B1494" i="4"/>
  <c r="B1491" i="4"/>
  <c r="B1502" i="4"/>
  <c r="B1490" i="4"/>
  <c r="B615" i="4"/>
  <c r="V577" i="4" s="1"/>
  <c r="B614" i="4"/>
  <c r="V576" i="4" s="1"/>
  <c r="B807" i="4"/>
  <c r="V801" i="4" s="1"/>
  <c r="B806" i="4"/>
  <c r="V800" i="4" s="1"/>
  <c r="B628" i="4"/>
  <c r="B631" i="4"/>
  <c r="B639" i="4"/>
  <c r="B627" i="4"/>
  <c r="B1070" i="4"/>
  <c r="B1071" i="4"/>
  <c r="G1016" i="4"/>
  <c r="B1082" i="4"/>
  <c r="B1106" i="4"/>
  <c r="B1110" i="4"/>
  <c r="B1107" i="4"/>
  <c r="B1118" i="4"/>
  <c r="B1739" i="4"/>
  <c r="B1743" i="4"/>
  <c r="B1740" i="4"/>
  <c r="B1751" i="4"/>
  <c r="B577" i="4"/>
  <c r="V571" i="4" s="1"/>
  <c r="B576" i="4"/>
  <c r="V570" i="4" s="1"/>
  <c r="B634" i="4"/>
  <c r="V580" i="4" s="1"/>
  <c r="B633" i="4"/>
  <c r="V579" i="4" s="1"/>
  <c r="B582" i="4"/>
  <c r="B571" i="4"/>
  <c r="B574" i="4"/>
  <c r="B570" i="4"/>
  <c r="B804" i="4"/>
  <c r="B801" i="4"/>
  <c r="B812" i="4"/>
  <c r="B800" i="4"/>
  <c r="B244" i="4"/>
  <c r="Q387" i="4"/>
  <c r="H1706" i="4"/>
  <c r="H1707" i="4" s="1"/>
  <c r="H1709" i="4" s="1"/>
  <c r="B1791" i="4"/>
  <c r="B1780" i="4"/>
  <c r="B1779" i="4"/>
  <c r="B704" i="4"/>
  <c r="B1061" i="4"/>
  <c r="B1053" i="4"/>
  <c r="B1050" i="4"/>
  <c r="B1049" i="4"/>
  <c r="B844" i="4"/>
  <c r="V806" i="4" s="1"/>
  <c r="B845" i="4"/>
  <c r="V807" i="4" s="1"/>
  <c r="B1778" i="4"/>
  <c r="B1789" i="4"/>
  <c r="B1781" i="4"/>
  <c r="B1777" i="4"/>
  <c r="B842" i="4"/>
  <c r="B838" i="4"/>
  <c r="B839" i="4"/>
  <c r="B850" i="4"/>
  <c r="B1723" i="4"/>
  <c r="B1734" i="4"/>
  <c r="E1706" i="4"/>
  <c r="E1707" i="4" s="1"/>
  <c r="E1709" i="4" s="1"/>
  <c r="B1722" i="4"/>
  <c r="B648" i="4"/>
  <c r="I556" i="4"/>
  <c r="I557" i="4" s="1"/>
  <c r="I559" i="4" s="1"/>
  <c r="B660" i="4"/>
  <c r="B649" i="4"/>
  <c r="B1088" i="4"/>
  <c r="B1091" i="4"/>
  <c r="B1087" i="4"/>
  <c r="B1099" i="4"/>
  <c r="B132" i="4"/>
  <c r="B131" i="4"/>
  <c r="F96" i="4"/>
  <c r="B143" i="4"/>
  <c r="F1016" i="4"/>
  <c r="B1301" i="4"/>
  <c r="B1312" i="4"/>
  <c r="B1300" i="4"/>
  <c r="G1246" i="4"/>
  <c r="G1248" i="4" s="1"/>
  <c r="G1250" i="4" s="1"/>
  <c r="B814" i="4"/>
  <c r="E786" i="4"/>
  <c r="E787" i="4" s="1"/>
  <c r="E789" i="4" s="1"/>
  <c r="B803" i="4"/>
  <c r="B802" i="4"/>
  <c r="B1074" i="4"/>
  <c r="V1036" i="4" s="1"/>
  <c r="B1075" i="4"/>
  <c r="V1037" i="4" s="1"/>
  <c r="B1742" i="4"/>
  <c r="B1741" i="4"/>
  <c r="B1753" i="4"/>
  <c r="F1706" i="4"/>
  <c r="F1707" i="4" s="1"/>
  <c r="F1709" i="4" s="1"/>
  <c r="B1343" i="4"/>
  <c r="V1273" i="4" s="1"/>
  <c r="B1342" i="4"/>
  <c r="V1272" i="4" s="1"/>
  <c r="B169" i="4"/>
  <c r="H96" i="4"/>
  <c r="H97" i="4" s="1"/>
  <c r="H99" i="4" s="1"/>
  <c r="B181" i="4"/>
  <c r="B170" i="4"/>
  <c r="B1030" i="4"/>
  <c r="B1042" i="4"/>
  <c r="B1034" i="4"/>
  <c r="B1031" i="4"/>
  <c r="B173" i="4"/>
  <c r="V119" i="4" s="1"/>
  <c r="B174" i="4"/>
  <c r="V120" i="4" s="1"/>
  <c r="B373" i="4"/>
  <c r="B361" i="4"/>
  <c r="B362" i="4"/>
  <c r="F326" i="4"/>
  <c r="F327" i="4" s="1"/>
  <c r="F329" i="4" s="1"/>
  <c r="B114" i="4"/>
  <c r="B110" i="4"/>
  <c r="B122" i="4"/>
  <c r="B111" i="4"/>
  <c r="B1724" i="4"/>
  <c r="B1721" i="4"/>
  <c r="B1720" i="4"/>
  <c r="B1732" i="4"/>
  <c r="B1510" i="4"/>
  <c r="B1509" i="4"/>
  <c r="B1521" i="4"/>
  <c r="B1513" i="4"/>
  <c r="B14" i="4"/>
  <c r="B1094" i="4"/>
  <c r="V1040" i="4" s="1"/>
  <c r="B1093" i="4"/>
  <c r="V1039" i="4" s="1"/>
  <c r="B612" i="4"/>
  <c r="B620" i="4"/>
  <c r="B609" i="4"/>
  <c r="B608" i="4"/>
  <c r="B1310" i="4"/>
  <c r="B1299" i="4"/>
  <c r="B1298" i="4"/>
  <c r="B1302" i="4"/>
  <c r="B1772" i="4"/>
  <c r="G1706" i="4"/>
  <c r="G1708" i="4" s="1"/>
  <c r="G1710" i="4" s="1"/>
  <c r="B1761" i="4"/>
  <c r="B1760" i="4"/>
  <c r="B1281" i="4"/>
  <c r="F1246" i="4"/>
  <c r="F1248" i="4" s="1"/>
  <c r="F1250" i="4" s="1"/>
  <c r="B1293" i="4"/>
  <c r="B1282" i="4"/>
  <c r="E96" i="4"/>
  <c r="E98" i="4" s="1"/>
  <c r="E100" i="4" s="1"/>
  <c r="B392" i="4"/>
  <c r="B381" i="4"/>
  <c r="G326" i="4"/>
  <c r="G327" i="4" s="1"/>
  <c r="G329" i="4" s="1"/>
  <c r="B380" i="4"/>
  <c r="B852" i="4"/>
  <c r="G786" i="4"/>
  <c r="G787" i="4" s="1"/>
  <c r="G789" i="4" s="1"/>
  <c r="B841" i="4"/>
  <c r="B840" i="4"/>
  <c r="B1305" i="4"/>
  <c r="V1267" i="4" s="1"/>
  <c r="B1304" i="4"/>
  <c r="V1266" i="4" s="1"/>
  <c r="B880" i="4"/>
  <c r="B876" i="4"/>
  <c r="B877" i="4"/>
  <c r="I787" i="4"/>
  <c r="I789" i="4" s="1"/>
  <c r="B888" i="4"/>
  <c r="B1567" i="4"/>
  <c r="B1578" i="4"/>
  <c r="B1570" i="4"/>
  <c r="B1566" i="4"/>
  <c r="B403" i="4"/>
  <c r="V349" i="4" s="1"/>
  <c r="B404" i="4"/>
  <c r="V350" i="4" s="1"/>
  <c r="B823" i="4"/>
  <c r="B831" i="4"/>
  <c r="B820" i="4"/>
  <c r="B819" i="4"/>
  <c r="B1350" i="4"/>
  <c r="B1338" i="4"/>
  <c r="I1246" i="4"/>
  <c r="I1247" i="4" s="1"/>
  <c r="I1249" i="4" s="1"/>
  <c r="B1339" i="4"/>
  <c r="B1263" i="4"/>
  <c r="B1274" i="4"/>
  <c r="B1262" i="4"/>
  <c r="E1246" i="4"/>
  <c r="E1248" i="4" s="1"/>
  <c r="E1250" i="4" s="1"/>
  <c r="B603" i="4"/>
  <c r="B592" i="4"/>
  <c r="F556" i="4"/>
  <c r="F558" i="4" s="1"/>
  <c r="F560" i="4" s="1"/>
  <c r="B591" i="4"/>
  <c r="B130" i="4"/>
  <c r="B141" i="4"/>
  <c r="B133" i="4"/>
  <c r="B129" i="4"/>
  <c r="B1784" i="4"/>
  <c r="V1730" i="4" s="1"/>
  <c r="B1783" i="4"/>
  <c r="V1729" i="4" s="1"/>
  <c r="B593" i="4"/>
  <c r="B590" i="4"/>
  <c r="B589" i="4"/>
  <c r="B601" i="4"/>
  <c r="B1285" i="4"/>
  <c r="V1263" i="4" s="1"/>
  <c r="B1286" i="4"/>
  <c r="V1264" i="4" s="1"/>
  <c r="B826" i="4"/>
  <c r="V804" i="4" s="1"/>
  <c r="B825" i="4"/>
  <c r="V803" i="4" s="1"/>
  <c r="B611" i="4"/>
  <c r="G556" i="4"/>
  <c r="G557" i="4" s="1"/>
  <c r="G559" i="4" s="1"/>
  <c r="B622" i="4"/>
  <c r="B610" i="4"/>
  <c r="B1261" i="4"/>
  <c r="B1260" i="4"/>
  <c r="B1272" i="4"/>
  <c r="B1264" i="4"/>
  <c r="B1569" i="4"/>
  <c r="B1568" i="4"/>
  <c r="B1580" i="4"/>
  <c r="I1476" i="4"/>
  <c r="B1266" i="4"/>
  <c r="V1260" i="4" s="1"/>
  <c r="B1267" i="4"/>
  <c r="V1261" i="4" s="1"/>
  <c r="B1323" i="4"/>
  <c r="V1269" i="4" s="1"/>
  <c r="B1324" i="4"/>
  <c r="V1270" i="4" s="1"/>
  <c r="B1320" i="4"/>
  <c r="B1331" i="4"/>
  <c r="B1319" i="4"/>
  <c r="H1246" i="4"/>
  <c r="H1247" i="4" s="1"/>
  <c r="H1249" i="4" s="1"/>
  <c r="B1810" i="4"/>
  <c r="B1799" i="4"/>
  <c r="B1798" i="4"/>
  <c r="I1706" i="4"/>
  <c r="B1803" i="4"/>
  <c r="V1733" i="4" s="1"/>
  <c r="B1802" i="4"/>
  <c r="V1732" i="4" s="1"/>
  <c r="B116" i="4"/>
  <c r="V110" i="4" s="1"/>
  <c r="B117" i="4"/>
  <c r="V111" i="4" s="1"/>
  <c r="B934" i="4"/>
  <c r="Q847" i="4"/>
  <c r="B352" i="4"/>
  <c r="B344" i="4"/>
  <c r="B340" i="4"/>
  <c r="B341" i="4"/>
  <c r="B1497" i="4"/>
  <c r="V1491" i="4" s="1"/>
  <c r="B1496" i="4"/>
  <c r="V1490" i="4" s="1"/>
  <c r="B1727" i="4"/>
  <c r="V1721" i="4" s="1"/>
  <c r="B1726" i="4"/>
  <c r="V1720" i="4" s="1"/>
  <c r="B1317" i="4"/>
  <c r="B1321" i="4"/>
  <c r="B1318" i="4"/>
  <c r="B1329" i="4"/>
  <c r="B882" i="4"/>
  <c r="V812" i="4" s="1"/>
  <c r="B883" i="4"/>
  <c r="V813" i="4" s="1"/>
  <c r="B1279" i="4"/>
  <c r="B1283" i="4"/>
  <c r="B1280" i="4"/>
  <c r="B1291" i="4"/>
  <c r="B1528" i="4"/>
  <c r="B1532" i="4"/>
  <c r="B1529" i="4"/>
  <c r="B1540" i="4"/>
  <c r="E1476" i="4"/>
  <c r="E1478" i="4" s="1"/>
  <c r="E1480" i="4" s="1"/>
  <c r="F786" i="4"/>
  <c r="F787" i="4" s="1"/>
  <c r="F789" i="4" s="1"/>
  <c r="B821" i="4"/>
  <c r="B822" i="4"/>
  <c r="B833" i="4"/>
  <c r="B1573" i="4"/>
  <c r="V1503" i="4" s="1"/>
  <c r="B1572" i="4"/>
  <c r="V1502" i="4" s="1"/>
  <c r="B154" i="4"/>
  <c r="V116" i="4" s="1"/>
  <c r="B155" i="4"/>
  <c r="V117" i="4" s="1"/>
  <c r="B343" i="4"/>
  <c r="B342" i="4"/>
  <c r="B354" i="4"/>
  <c r="E326" i="4"/>
  <c r="E328" i="4" s="1"/>
  <c r="E330" i="4" s="1"/>
  <c r="B1037" i="4"/>
  <c r="V1031" i="4" s="1"/>
  <c r="B1036" i="4"/>
  <c r="V1030" i="4" s="1"/>
  <c r="B1764" i="4"/>
  <c r="V1726" i="4" s="1"/>
  <c r="B1765" i="4"/>
  <c r="V1727" i="4" s="1"/>
  <c r="B1516" i="4"/>
  <c r="V1494" i="4" s="1"/>
  <c r="B1515" i="4"/>
  <c r="V1493" i="4" s="1"/>
  <c r="B1759" i="4"/>
  <c r="B1758" i="4"/>
  <c r="B1770" i="4"/>
  <c r="B1762" i="4"/>
  <c r="B168" i="4"/>
  <c r="B171" i="4"/>
  <c r="B167" i="4"/>
  <c r="B179" i="4"/>
  <c r="B347" i="4"/>
  <c r="V341" i="4" s="1"/>
  <c r="B346" i="4"/>
  <c r="V340" i="4" s="1"/>
  <c r="B892" i="4" l="1"/>
  <c r="P158" i="4"/>
  <c r="G788" i="4"/>
  <c r="G790" i="4" s="1"/>
  <c r="H1017" i="4"/>
  <c r="H1019" i="4" s="1"/>
  <c r="B1715" i="4"/>
  <c r="B1485" i="4"/>
  <c r="B1255" i="4"/>
  <c r="B137" i="2"/>
  <c r="B1025" i="4" s="1"/>
  <c r="B105" i="2"/>
  <c r="B795" i="4" s="1"/>
  <c r="B73" i="2"/>
  <c r="B565" i="4" s="1"/>
  <c r="B41" i="2"/>
  <c r="B335" i="4" s="1"/>
  <c r="B9" i="2"/>
  <c r="B105" i="4" s="1"/>
  <c r="B433" i="4"/>
  <c r="B432" i="4"/>
  <c r="H1248" i="4"/>
  <c r="H1250" i="4" s="1"/>
  <c r="B1334" i="4" s="1"/>
  <c r="I1248" i="4"/>
  <c r="I1250" i="4" s="1"/>
  <c r="B1352" i="4" s="1"/>
  <c r="G558" i="4"/>
  <c r="G560" i="4" s="1"/>
  <c r="B624" i="4" s="1"/>
  <c r="E788" i="4"/>
  <c r="E790" i="4" s="1"/>
  <c r="B817" i="4" s="1"/>
  <c r="B1104" i="4"/>
  <c r="B867" i="4"/>
  <c r="B868" i="4"/>
  <c r="B1102" i="4"/>
  <c r="F1247" i="4"/>
  <c r="F1249" i="4" s="1"/>
  <c r="B1288" i="4" s="1"/>
  <c r="H1478" i="4"/>
  <c r="H1480" i="4" s="1"/>
  <c r="B1564" i="4" s="1"/>
  <c r="E1017" i="4"/>
  <c r="E1019" i="4" s="1"/>
  <c r="B1040" i="4" s="1"/>
  <c r="E558" i="4"/>
  <c r="E560" i="4" s="1"/>
  <c r="B586" i="4" s="1"/>
  <c r="F1708" i="4"/>
  <c r="F1710" i="4" s="1"/>
  <c r="B1755" i="4" s="1"/>
  <c r="P619" i="4"/>
  <c r="O619" i="4"/>
  <c r="B1045" i="4"/>
  <c r="B1047" i="4"/>
  <c r="H98" i="4"/>
  <c r="H100" i="4" s="1"/>
  <c r="B182" i="4" s="1"/>
  <c r="H788" i="4"/>
  <c r="H790" i="4" s="1"/>
  <c r="B872" i="4" s="1"/>
  <c r="H557" i="4"/>
  <c r="H559" i="4" s="1"/>
  <c r="B637" i="4" s="1"/>
  <c r="B425" i="4"/>
  <c r="B427" i="4"/>
  <c r="E1477" i="4"/>
  <c r="E1479" i="4" s="1"/>
  <c r="B1500" i="4" s="1"/>
  <c r="F557" i="4"/>
  <c r="F559" i="4" s="1"/>
  <c r="B599" i="4" s="1"/>
  <c r="F1478" i="4"/>
  <c r="F1480" i="4" s="1"/>
  <c r="B1525" i="4" s="1"/>
  <c r="I98" i="4"/>
  <c r="I100" i="4" s="1"/>
  <c r="B202" i="4" s="1"/>
  <c r="E1708" i="4"/>
  <c r="E1710" i="4" s="1"/>
  <c r="B1736" i="4" s="1"/>
  <c r="I1017" i="4"/>
  <c r="I1019" i="4" s="1"/>
  <c r="B1115" i="4" s="1"/>
  <c r="H1708" i="4"/>
  <c r="H1710" i="4" s="1"/>
  <c r="B1794" i="4" s="1"/>
  <c r="E327" i="4"/>
  <c r="E329" i="4" s="1"/>
  <c r="B351" i="4" s="1"/>
  <c r="G98" i="4"/>
  <c r="G100" i="4" s="1"/>
  <c r="B163" i="4" s="1"/>
  <c r="G1707" i="4"/>
  <c r="G1709" i="4" s="1"/>
  <c r="B1769" i="4" s="1"/>
  <c r="B1314" i="4"/>
  <c r="B1315" i="4"/>
  <c r="B1313" i="4"/>
  <c r="B1277" i="4"/>
  <c r="B1276" i="4"/>
  <c r="B1275" i="4"/>
  <c r="B855" i="4"/>
  <c r="B854" i="4"/>
  <c r="B853" i="4"/>
  <c r="B1774" i="4"/>
  <c r="B1775" i="4"/>
  <c r="B1773" i="4"/>
  <c r="B809" i="4"/>
  <c r="B811" i="4"/>
  <c r="B810" i="4"/>
  <c r="B849" i="4"/>
  <c r="B848" i="4"/>
  <c r="B847" i="4"/>
  <c r="B1556" i="4"/>
  <c r="B1558" i="4"/>
  <c r="B1557" i="4"/>
  <c r="B1123" i="4"/>
  <c r="B1122" i="4"/>
  <c r="B1121" i="4"/>
  <c r="I1707" i="4"/>
  <c r="I1709" i="4" s="1"/>
  <c r="I1708" i="4"/>
  <c r="I1710" i="4" s="1"/>
  <c r="B829" i="4"/>
  <c r="B828" i="4"/>
  <c r="B830" i="4"/>
  <c r="E1247" i="4"/>
  <c r="E1249" i="4" s="1"/>
  <c r="G1247" i="4"/>
  <c r="G1249" i="4" s="1"/>
  <c r="B176" i="4"/>
  <c r="B178" i="4"/>
  <c r="B177" i="4"/>
  <c r="B1788" i="4"/>
  <c r="B1786" i="4"/>
  <c r="B1787" i="4"/>
  <c r="P388" i="4"/>
  <c r="O388" i="4"/>
  <c r="F97" i="4"/>
  <c r="F99" i="4" s="1"/>
  <c r="F98" i="4"/>
  <c r="F100" i="4" s="1"/>
  <c r="B355" i="4"/>
  <c r="B357" i="4"/>
  <c r="B356" i="4"/>
  <c r="B1539" i="4"/>
  <c r="B1538" i="4"/>
  <c r="B1537" i="4"/>
  <c r="F1018" i="4"/>
  <c r="F1020" i="4" s="1"/>
  <c r="F1017" i="4"/>
  <c r="F1019" i="4" s="1"/>
  <c r="B619" i="4"/>
  <c r="B618" i="4"/>
  <c r="B617" i="4"/>
  <c r="B1520" i="4"/>
  <c r="B1519" i="4"/>
  <c r="B1518" i="4"/>
  <c r="B1750" i="4"/>
  <c r="B1749" i="4"/>
  <c r="B1748" i="4"/>
  <c r="G1017" i="4"/>
  <c r="G1019" i="4" s="1"/>
  <c r="G1018" i="4"/>
  <c r="G1020" i="4" s="1"/>
  <c r="B1328" i="4"/>
  <c r="B1326" i="4"/>
  <c r="B1327" i="4"/>
  <c r="B1345" i="4"/>
  <c r="B1347" i="4"/>
  <c r="B1346" i="4"/>
  <c r="B644" i="4"/>
  <c r="B642" i="4"/>
  <c r="B643" i="4"/>
  <c r="B579" i="4"/>
  <c r="B580" i="4"/>
  <c r="B581" i="4"/>
  <c r="I1478" i="4"/>
  <c r="I1480" i="4" s="1"/>
  <c r="I1477" i="4"/>
  <c r="I1479" i="4" s="1"/>
  <c r="Q158" i="4"/>
  <c r="G1478" i="4"/>
  <c r="G1480" i="4" s="1"/>
  <c r="B1729" i="4"/>
  <c r="B1731" i="4"/>
  <c r="B1730" i="4"/>
  <c r="O848" i="4"/>
  <c r="P848" i="4"/>
  <c r="B126" i="4"/>
  <c r="B127" i="4"/>
  <c r="B125" i="4"/>
  <c r="B368" i="4"/>
  <c r="B370" i="4"/>
  <c r="B369" i="4"/>
  <c r="B388" i="4"/>
  <c r="B389" i="4"/>
  <c r="B387" i="4"/>
  <c r="B157" i="4"/>
  <c r="B158" i="4"/>
  <c r="B159" i="4"/>
  <c r="E97" i="4"/>
  <c r="E99" i="4" s="1"/>
  <c r="F788" i="4"/>
  <c r="F790" i="4" s="1"/>
  <c r="B1507" i="4"/>
  <c r="B1506" i="4"/>
  <c r="B1505" i="4"/>
  <c r="G328" i="4"/>
  <c r="G330" i="4" s="1"/>
  <c r="B195" i="4"/>
  <c r="B197" i="4"/>
  <c r="B196" i="4"/>
  <c r="F328" i="4"/>
  <c r="F330" i="4" s="1"/>
  <c r="H328" i="4"/>
  <c r="H330" i="4" s="1"/>
  <c r="B1098" i="4"/>
  <c r="B1097" i="4"/>
  <c r="B1096" i="4"/>
  <c r="B1295" i="4"/>
  <c r="B1294" i="4"/>
  <c r="B1296" i="4"/>
  <c r="B407" i="4"/>
  <c r="B406" i="4"/>
  <c r="B408" i="4"/>
  <c r="I558" i="4"/>
  <c r="I560" i="4" s="1"/>
  <c r="B886" i="4"/>
  <c r="B885" i="4"/>
  <c r="B887" i="4"/>
  <c r="B604" i="4"/>
  <c r="B606" i="4"/>
  <c r="B605" i="4"/>
  <c r="B656" i="4"/>
  <c r="B657" i="4"/>
  <c r="B655" i="4"/>
  <c r="B1563" i="4" l="1"/>
  <c r="B1289" i="4"/>
  <c r="B1290" i="4"/>
  <c r="B1332" i="4"/>
  <c r="B1333" i="4"/>
  <c r="B625" i="4"/>
  <c r="B1562" i="4"/>
  <c r="Q619" i="4"/>
  <c r="P620" i="4" s="1"/>
  <c r="B623" i="4"/>
  <c r="B1754" i="4"/>
  <c r="B1756" i="4"/>
  <c r="B1351" i="4"/>
  <c r="B1353" i="4"/>
  <c r="B816" i="4"/>
  <c r="B815" i="4"/>
  <c r="B585" i="4"/>
  <c r="B587" i="4"/>
  <c r="B638" i="4"/>
  <c r="B1501" i="4"/>
  <c r="Q388" i="4"/>
  <c r="B636" i="4"/>
  <c r="B1041" i="4"/>
  <c r="B1039" i="4"/>
  <c r="B1792" i="4"/>
  <c r="B1793" i="4"/>
  <c r="B1117" i="4"/>
  <c r="B600" i="4"/>
  <c r="B598" i="4"/>
  <c r="B203" i="4"/>
  <c r="B201" i="4"/>
  <c r="B164" i="4"/>
  <c r="B1116" i="4"/>
  <c r="B1767" i="4"/>
  <c r="B874" i="4"/>
  <c r="B873" i="4"/>
  <c r="B1524" i="4"/>
  <c r="B1737" i="4"/>
  <c r="O620" i="4"/>
  <c r="B184" i="4"/>
  <c r="B183" i="4"/>
  <c r="B1768" i="4"/>
  <c r="B1526" i="4"/>
  <c r="B1735" i="4"/>
  <c r="B165" i="4"/>
  <c r="B1499" i="4"/>
  <c r="B349" i="4"/>
  <c r="B350" i="4"/>
  <c r="B1066" i="4"/>
  <c r="B1065" i="4"/>
  <c r="B1064" i="4"/>
  <c r="B1545" i="4"/>
  <c r="B1544" i="4"/>
  <c r="B1543" i="4"/>
  <c r="B1813" i="4"/>
  <c r="B1812" i="4"/>
  <c r="B1811" i="4"/>
  <c r="P159" i="4"/>
  <c r="O159" i="4"/>
  <c r="B1309" i="4"/>
  <c r="B1308" i="4"/>
  <c r="B1307" i="4"/>
  <c r="B1807" i="4"/>
  <c r="B1806" i="4"/>
  <c r="B1805" i="4"/>
  <c r="B1575" i="4"/>
  <c r="B1577" i="4"/>
  <c r="B1576" i="4"/>
  <c r="B1583" i="4"/>
  <c r="B1582" i="4"/>
  <c r="B1581" i="4"/>
  <c r="B1271" i="4"/>
  <c r="B1269" i="4"/>
  <c r="B1270" i="4"/>
  <c r="B376" i="4"/>
  <c r="B375" i="4"/>
  <c r="B374" i="4"/>
  <c r="Q848" i="4"/>
  <c r="B1060" i="4"/>
  <c r="B1059" i="4"/>
  <c r="B1058" i="4"/>
  <c r="B139" i="4"/>
  <c r="B138" i="4"/>
  <c r="B140" i="4"/>
  <c r="B835" i="4"/>
  <c r="B834" i="4"/>
  <c r="B836" i="4"/>
  <c r="B1077" i="4"/>
  <c r="B1079" i="4"/>
  <c r="B1078" i="4"/>
  <c r="B413" i="4"/>
  <c r="B414" i="4"/>
  <c r="B412" i="4"/>
  <c r="B394" i="4"/>
  <c r="B395" i="4"/>
  <c r="B393" i="4"/>
  <c r="B145" i="4"/>
  <c r="B146" i="4"/>
  <c r="B144" i="4"/>
  <c r="B663" i="4"/>
  <c r="B662" i="4"/>
  <c r="B661" i="4"/>
  <c r="B1085" i="4"/>
  <c r="B1084" i="4"/>
  <c r="B1083" i="4"/>
  <c r="B119" i="4"/>
  <c r="B120" i="4"/>
  <c r="B121" i="4"/>
  <c r="O389" i="4"/>
  <c r="P389" i="4"/>
  <c r="Q620" i="4" l="1"/>
  <c r="O621" i="4" s="1"/>
  <c r="Q159" i="4"/>
  <c r="P160" i="4"/>
  <c r="O160" i="4"/>
  <c r="Q389" i="4"/>
  <c r="P849" i="4"/>
  <c r="O849" i="4"/>
  <c r="P621" i="4" l="1"/>
  <c r="Q160" i="4"/>
  <c r="P161" i="4" s="1"/>
  <c r="Q849" i="4"/>
  <c r="O850" i="4" s="1"/>
  <c r="O390" i="4"/>
  <c r="P390" i="4"/>
  <c r="Q621" i="4"/>
  <c r="O161" i="4" l="1"/>
  <c r="P850" i="4"/>
  <c r="Q850" i="4" s="1"/>
  <c r="P622" i="4"/>
  <c r="O622" i="4"/>
  <c r="Q390" i="4"/>
  <c r="Q161" i="4"/>
  <c r="Q622" i="4" l="1"/>
  <c r="P391" i="4"/>
  <c r="O391" i="4"/>
  <c r="P623" i="4"/>
  <c r="O623" i="4"/>
  <c r="O851" i="4"/>
  <c r="P851" i="4"/>
  <c r="P162" i="4"/>
  <c r="O162" i="4"/>
  <c r="Q623" i="4" l="1"/>
  <c r="Q162" i="4"/>
  <c r="Q391" i="4"/>
  <c r="P624" i="4"/>
  <c r="O624" i="4"/>
  <c r="O392" i="4"/>
  <c r="P392" i="4"/>
  <c r="P163" i="4"/>
  <c r="O163" i="4"/>
  <c r="Q851" i="4"/>
  <c r="Q624" i="4" l="1"/>
  <c r="Q163" i="4"/>
  <c r="Q392" i="4"/>
  <c r="P852" i="4"/>
  <c r="O852" i="4"/>
  <c r="P393" i="4"/>
  <c r="O393" i="4"/>
  <c r="O625" i="4"/>
  <c r="P625" i="4"/>
  <c r="O164" i="4"/>
  <c r="P164" i="4"/>
  <c r="Q852" i="4" l="1"/>
  <c r="Q164" i="4"/>
  <c r="Q393" i="4"/>
  <c r="P394" i="4"/>
  <c r="O394" i="4"/>
  <c r="P165" i="4"/>
  <c r="O165" i="4"/>
  <c r="P853" i="4"/>
  <c r="O853" i="4"/>
  <c r="Q625" i="4"/>
  <c r="Q853" i="4" l="1"/>
  <c r="O854" i="4" s="1"/>
  <c r="Q394" i="4"/>
  <c r="Q165" i="4"/>
  <c r="P166" i="4"/>
  <c r="O166" i="4"/>
  <c r="P395" i="4"/>
  <c r="O395" i="4"/>
  <c r="O626" i="4"/>
  <c r="P626" i="4"/>
  <c r="Q166" i="4" l="1"/>
  <c r="P854" i="4"/>
  <c r="Q854" i="4" s="1"/>
  <c r="Q395" i="4"/>
  <c r="Q626" i="4"/>
  <c r="P167" i="4"/>
  <c r="O167" i="4"/>
  <c r="P396" i="4"/>
  <c r="O396" i="4"/>
  <c r="P855" i="4" l="1"/>
  <c r="O855" i="4"/>
  <c r="Q396" i="4"/>
  <c r="P397" i="4" s="1"/>
  <c r="Q167" i="4"/>
  <c r="O627" i="4"/>
  <c r="P627" i="4"/>
  <c r="Q855" i="4" l="1"/>
  <c r="O856" i="4" s="1"/>
  <c r="O397" i="4"/>
  <c r="Q397" i="4" s="1"/>
  <c r="O398" i="4" s="1"/>
  <c r="Q627" i="4"/>
  <c r="P628" i="4" s="1"/>
  <c r="P856" i="4"/>
  <c r="P168" i="4"/>
  <c r="O168" i="4"/>
  <c r="Q168" i="4" l="1"/>
  <c r="O628" i="4"/>
  <c r="Q628" i="4" s="1"/>
  <c r="P398" i="4"/>
  <c r="Q398" i="4" s="1"/>
  <c r="Q856" i="4"/>
  <c r="P169" i="4"/>
  <c r="O169" i="4"/>
  <c r="O857" i="4"/>
  <c r="P857" i="4"/>
  <c r="O629" i="4" l="1"/>
  <c r="P629" i="4"/>
  <c r="O399" i="4"/>
  <c r="P399" i="4"/>
  <c r="Q857" i="4"/>
  <c r="P858" i="4" s="1"/>
  <c r="Q169" i="4"/>
  <c r="Q629" i="4" l="1"/>
  <c r="O858" i="4"/>
  <c r="Q858" i="4" s="1"/>
  <c r="Q399" i="4"/>
  <c r="P630" i="4"/>
  <c r="O630" i="4"/>
  <c r="P170" i="4"/>
  <c r="O170" i="4"/>
  <c r="P400" i="4"/>
  <c r="O400" i="4"/>
  <c r="P859" i="4" l="1"/>
  <c r="O859" i="4"/>
  <c r="Q170" i="4"/>
  <c r="P171" i="4" s="1"/>
  <c r="Q630" i="4"/>
  <c r="Q400" i="4"/>
  <c r="P401" i="4" s="1"/>
  <c r="O401" i="4"/>
  <c r="P631" i="4"/>
  <c r="O631" i="4"/>
  <c r="Q859" i="4" l="1"/>
  <c r="P860" i="4" s="1"/>
  <c r="O171" i="4"/>
  <c r="Q171" i="4" s="1"/>
  <c r="Q401" i="4"/>
  <c r="Q631" i="4"/>
  <c r="P402" i="4"/>
  <c r="O402" i="4"/>
  <c r="P632" i="4"/>
  <c r="O632" i="4"/>
  <c r="O860" i="4" l="1"/>
  <c r="Q860" i="4" s="1"/>
  <c r="Q402" i="4"/>
  <c r="Q632" i="4"/>
  <c r="P172" i="4"/>
  <c r="O172" i="4"/>
  <c r="O403" i="4"/>
  <c r="P403" i="4"/>
  <c r="P633" i="4"/>
  <c r="O633" i="4"/>
  <c r="O861" i="4" l="1"/>
  <c r="P861" i="4"/>
  <c r="Q861" i="4" s="1"/>
  <c r="Q633" i="4"/>
  <c r="P634" i="4" s="1"/>
  <c r="Q403" i="4"/>
  <c r="Q172" i="4"/>
  <c r="O862" i="4" l="1"/>
  <c r="P862" i="4"/>
  <c r="Q862" i="4" s="1"/>
  <c r="P863" i="4" s="1"/>
  <c r="O634" i="4"/>
  <c r="Q634" i="4" s="1"/>
  <c r="P635" i="4" s="1"/>
  <c r="O404" i="4"/>
  <c r="P404" i="4"/>
  <c r="P173" i="4"/>
  <c r="O173" i="4"/>
  <c r="O863" i="4" l="1"/>
  <c r="Q863" i="4" s="1"/>
  <c r="P864" i="4" s="1"/>
  <c r="Q173" i="4"/>
  <c r="O635" i="4"/>
  <c r="Q635" i="4" s="1"/>
  <c r="P636" i="4" s="1"/>
  <c r="P174" i="4"/>
  <c r="O174" i="4"/>
  <c r="Q174" i="4" s="1"/>
  <c r="Q404" i="4"/>
  <c r="O864" i="4" l="1"/>
  <c r="Q864" i="4" s="1"/>
  <c r="O636" i="4"/>
  <c r="O405" i="4"/>
  <c r="P405" i="4"/>
  <c r="P175" i="4"/>
  <c r="O175" i="4"/>
  <c r="Q636" i="4"/>
  <c r="O865" i="4" l="1"/>
  <c r="Q865" i="4" s="1"/>
  <c r="P865" i="4"/>
  <c r="Q175" i="4"/>
  <c r="O176" i="4" s="1"/>
  <c r="O637" i="4"/>
  <c r="P637" i="4"/>
  <c r="Q405" i="4"/>
  <c r="P176" i="4" l="1"/>
  <c r="Q176" i="4" s="1"/>
  <c r="Q637" i="4"/>
  <c r="O406" i="4"/>
  <c r="P406" i="4"/>
  <c r="O866" i="4"/>
  <c r="P866" i="4"/>
  <c r="P638" i="4"/>
  <c r="O638" i="4"/>
  <c r="Q638" i="4" l="1"/>
  <c r="Q406" i="4"/>
  <c r="O639" i="4"/>
  <c r="P639" i="4"/>
  <c r="P407" i="4"/>
  <c r="O407" i="4"/>
  <c r="Q866" i="4"/>
  <c r="P177" i="4"/>
  <c r="O177" i="4"/>
  <c r="Q177" i="4" l="1"/>
  <c r="Q407" i="4"/>
  <c r="P178" i="4"/>
  <c r="O178" i="4"/>
  <c r="P867" i="4"/>
  <c r="O867" i="4"/>
  <c r="O408" i="4"/>
  <c r="P408" i="4"/>
  <c r="Q639" i="4"/>
  <c r="Q178" i="4" l="1"/>
  <c r="Q867" i="4"/>
  <c r="P868" i="4" s="1"/>
  <c r="O640" i="4"/>
  <c r="P640" i="4"/>
  <c r="P179" i="4"/>
  <c r="O179" i="4"/>
  <c r="Q408" i="4"/>
  <c r="O868" i="4" l="1"/>
  <c r="Q868" i="4" s="1"/>
  <c r="Q179" i="4"/>
  <c r="P180" i="4"/>
  <c r="O180" i="4"/>
  <c r="P409" i="4"/>
  <c r="O409" i="4"/>
  <c r="Q640" i="4"/>
  <c r="Q180" i="4" l="1"/>
  <c r="O869" i="4"/>
  <c r="P869" i="4"/>
  <c r="Q409" i="4"/>
  <c r="P410" i="4" s="1"/>
  <c r="P641" i="4"/>
  <c r="O641" i="4"/>
  <c r="P181" i="4"/>
  <c r="O181" i="4"/>
  <c r="O410" i="4" l="1"/>
  <c r="Q410" i="4" s="1"/>
  <c r="Q869" i="4"/>
  <c r="Q641" i="4"/>
  <c r="Q181" i="4"/>
  <c r="P182" i="4" s="1"/>
  <c r="O182" i="4"/>
  <c r="O642" i="4"/>
  <c r="P642" i="4"/>
  <c r="O411" i="4" l="1"/>
  <c r="P411" i="4"/>
  <c r="P870" i="4"/>
  <c r="O870" i="4"/>
  <c r="Q182" i="4"/>
  <c r="P183" i="4"/>
  <c r="O183" i="4"/>
  <c r="Q642" i="4"/>
  <c r="Q411" i="4" l="1"/>
  <c r="O412" i="4"/>
  <c r="P412" i="4"/>
  <c r="Q870" i="4"/>
  <c r="P871" i="4"/>
  <c r="O871" i="4"/>
  <c r="Q412" i="4"/>
  <c r="O643" i="4"/>
  <c r="P643" i="4"/>
  <c r="Q183" i="4"/>
  <c r="P413" i="4"/>
  <c r="O413" i="4"/>
  <c r="Q871" i="4" l="1"/>
  <c r="O872" i="4" s="1"/>
  <c r="P872" i="4"/>
  <c r="Q872" i="4" s="1"/>
  <c r="Q413" i="4"/>
  <c r="P184" i="4"/>
  <c r="O184" i="4"/>
  <c r="P414" i="4"/>
  <c r="O414" i="4"/>
  <c r="Q643" i="4"/>
  <c r="Q414" i="4" l="1"/>
  <c r="P415" i="4" s="1"/>
  <c r="O415" i="4"/>
  <c r="P644" i="4"/>
  <c r="O644" i="4"/>
  <c r="Q184" i="4"/>
  <c r="O873" i="4"/>
  <c r="P873" i="4"/>
  <c r="Q415" i="4" l="1"/>
  <c r="O416" i="4" s="1"/>
  <c r="P185" i="4"/>
  <c r="O185" i="4"/>
  <c r="Q873" i="4"/>
  <c r="P416" i="4"/>
  <c r="Q644" i="4"/>
  <c r="Q185" i="4" l="1"/>
  <c r="O645" i="4"/>
  <c r="P645" i="4"/>
  <c r="P874" i="4"/>
  <c r="O874" i="4"/>
  <c r="O186" i="4"/>
  <c r="P186" i="4"/>
  <c r="Q416" i="4"/>
  <c r="Q186" i="4" l="1"/>
  <c r="P187" i="4" s="1"/>
  <c r="O417" i="4"/>
  <c r="P417" i="4"/>
  <c r="Q874" i="4"/>
  <c r="Q645" i="4"/>
  <c r="O187" i="4" l="1"/>
  <c r="Q187" i="4" s="1"/>
  <c r="P875" i="4"/>
  <c r="O875" i="4"/>
  <c r="Q417" i="4"/>
  <c r="P646" i="4"/>
  <c r="O646" i="4"/>
  <c r="O188" i="4" l="1"/>
  <c r="P188" i="4"/>
  <c r="Q875" i="4"/>
  <c r="O876" i="4" s="1"/>
  <c r="O418" i="4"/>
  <c r="P418" i="4"/>
  <c r="Q646" i="4"/>
  <c r="P876" i="4"/>
  <c r="Q188" i="4" l="1"/>
  <c r="P189" i="4"/>
  <c r="O189" i="4"/>
  <c r="O647" i="4"/>
  <c r="P647" i="4"/>
  <c r="Q418" i="4"/>
  <c r="Q876" i="4"/>
  <c r="Q189" i="4" l="1"/>
  <c r="P877" i="4"/>
  <c r="O877" i="4"/>
  <c r="P419" i="4"/>
  <c r="O419" i="4"/>
  <c r="P190" i="4"/>
  <c r="O190" i="4"/>
  <c r="Q647" i="4"/>
  <c r="Q877" i="4" l="1"/>
  <c r="Q419" i="4"/>
  <c r="P648" i="4"/>
  <c r="O648" i="4"/>
  <c r="Q190" i="4"/>
  <c r="B23" i="4" s="1"/>
  <c r="P878" i="4"/>
  <c r="O878" i="4"/>
  <c r="P420" i="4"/>
  <c r="O420" i="4"/>
  <c r="Q878" i="4" l="1"/>
  <c r="Q420" i="4"/>
  <c r="B253" i="4" s="1"/>
  <c r="M328" i="4" s="1"/>
  <c r="T328" i="4" s="1"/>
  <c r="Q648" i="4"/>
  <c r="P649" i="4" s="1"/>
  <c r="N368" i="4"/>
  <c r="T429" i="4" s="1"/>
  <c r="M356" i="4"/>
  <c r="T356" i="4" s="1"/>
  <c r="M368" i="4"/>
  <c r="T368" i="4" s="1"/>
  <c r="N371" i="4"/>
  <c r="T432" i="4" s="1"/>
  <c r="M353" i="4"/>
  <c r="T353" i="4" s="1"/>
  <c r="M346" i="4"/>
  <c r="T346" i="4" s="1"/>
  <c r="M373" i="4"/>
  <c r="T373" i="4" s="1"/>
  <c r="M371" i="4"/>
  <c r="T371" i="4" s="1"/>
  <c r="N353" i="4"/>
  <c r="T414" i="4" s="1"/>
  <c r="N346" i="4"/>
  <c r="T407" i="4" s="1"/>
  <c r="N356" i="4"/>
  <c r="T417" i="4" s="1"/>
  <c r="N373" i="4"/>
  <c r="T434" i="4" s="1"/>
  <c r="N328" i="4"/>
  <c r="T389" i="4" s="1"/>
  <c r="N350" i="4"/>
  <c r="T411" i="4" s="1"/>
  <c r="M329" i="4"/>
  <c r="T329" i="4" s="1"/>
  <c r="M342" i="4"/>
  <c r="T342" i="4" s="1"/>
  <c r="N347" i="4"/>
  <c r="T408" i="4" s="1"/>
  <c r="M325" i="4"/>
  <c r="T325" i="4" s="1"/>
  <c r="N358" i="4"/>
  <c r="T419" i="4" s="1"/>
  <c r="M358" i="4"/>
  <c r="T358" i="4" s="1"/>
  <c r="N380" i="4"/>
  <c r="T441" i="4" s="1"/>
  <c r="M367" i="4"/>
  <c r="T367" i="4" s="1"/>
  <c r="N323" i="4"/>
  <c r="T384" i="4" s="1"/>
  <c r="N344" i="4"/>
  <c r="T405" i="4" s="1"/>
  <c r="M344" i="4"/>
  <c r="T344" i="4" s="1"/>
  <c r="M326" i="4"/>
  <c r="T326" i="4" s="1"/>
  <c r="M378" i="4"/>
  <c r="T378" i="4" s="1"/>
  <c r="N351" i="4"/>
  <c r="T412" i="4" s="1"/>
  <c r="N326" i="4"/>
  <c r="T387" i="4" s="1"/>
  <c r="N374" i="4"/>
  <c r="T435" i="4" s="1"/>
  <c r="N324" i="4"/>
  <c r="T385" i="4" s="1"/>
  <c r="N332" i="4"/>
  <c r="T393" i="4" s="1"/>
  <c r="N336" i="4"/>
  <c r="T397" i="4" s="1"/>
  <c r="M374" i="4"/>
  <c r="T374" i="4" s="1"/>
  <c r="M324" i="4"/>
  <c r="T324" i="4" s="1"/>
  <c r="M348" i="4"/>
  <c r="T348" i="4" s="1"/>
  <c r="N359" i="4"/>
  <c r="T420" i="4" s="1"/>
  <c r="N330" i="4"/>
  <c r="T391" i="4" s="1"/>
  <c r="M365" i="4"/>
  <c r="T365" i="4" s="1"/>
  <c r="M351" i="4"/>
  <c r="T351" i="4" s="1"/>
  <c r="M338" i="4"/>
  <c r="T338" i="4" s="1"/>
  <c r="M352" i="4"/>
  <c r="T352" i="4" s="1"/>
  <c r="M364" i="4"/>
  <c r="T364" i="4" s="1"/>
  <c r="N352" i="4"/>
  <c r="T413" i="4" s="1"/>
  <c r="M340" i="4"/>
  <c r="T340" i="4" s="1"/>
  <c r="N357" i="4"/>
  <c r="T418" i="4" s="1"/>
  <c r="N365" i="4"/>
  <c r="T426" i="4" s="1"/>
  <c r="N338" i="4"/>
  <c r="T399" i="4" s="1"/>
  <c r="N348" i="4"/>
  <c r="T409" i="4" s="1"/>
  <c r="N340" i="4"/>
  <c r="T401" i="4" s="1"/>
  <c r="M357" i="4"/>
  <c r="T357" i="4" s="1"/>
  <c r="M377" i="4"/>
  <c r="T377" i="4" s="1"/>
  <c r="N362" i="4"/>
  <c r="T423" i="4" s="1"/>
  <c r="N376" i="4"/>
  <c r="T437" i="4" s="1"/>
  <c r="N364" i="4"/>
  <c r="T425" i="4" s="1"/>
  <c r="M376" i="4"/>
  <c r="T376" i="4" s="1"/>
  <c r="N339" i="4"/>
  <c r="T400" i="4" s="1"/>
  <c r="M361" i="4"/>
  <c r="T361" i="4" s="1"/>
  <c r="M339" i="4"/>
  <c r="T339" i="4" s="1"/>
  <c r="N361" i="4"/>
  <c r="T422" i="4" s="1"/>
  <c r="N369" i="4"/>
  <c r="T430" i="4" s="1"/>
  <c r="M369" i="4"/>
  <c r="T369" i="4" s="1"/>
  <c r="N341" i="4"/>
  <c r="T402" i="4" s="1"/>
  <c r="M350" i="4"/>
  <c r="T350" i="4" s="1"/>
  <c r="M341" i="4"/>
  <c r="T341" i="4" s="1"/>
  <c r="N375" i="4"/>
  <c r="T436" i="4" s="1"/>
  <c r="M355" i="4"/>
  <c r="T355" i="4" s="1"/>
  <c r="N366" i="4"/>
  <c r="T427" i="4" s="1"/>
  <c r="N343" i="4"/>
  <c r="T404" i="4" s="1"/>
  <c r="M347" i="4"/>
  <c r="T347" i="4" s="1"/>
  <c r="M375" i="4"/>
  <c r="T375" i="4" s="1"/>
  <c r="N355" i="4"/>
  <c r="T416" i="4" s="1"/>
  <c r="N325" i="4"/>
  <c r="T386" i="4" s="1"/>
  <c r="M343" i="4"/>
  <c r="T343" i="4" s="1"/>
  <c r="N333" i="4"/>
  <c r="T394" i="4" s="1"/>
  <c r="N354" i="4"/>
  <c r="T415" i="4" s="1"/>
  <c r="N329" i="4"/>
  <c r="T390" i="4" s="1"/>
  <c r="M335" i="4"/>
  <c r="T335" i="4" s="1"/>
  <c r="M360" i="4"/>
  <c r="T360" i="4" s="1"/>
  <c r="M337" i="4"/>
  <c r="T337" i="4" s="1"/>
  <c r="N360" i="4"/>
  <c r="T421" i="4" s="1"/>
  <c r="N322" i="4"/>
  <c r="T383" i="4" s="1"/>
  <c r="M321" i="4"/>
  <c r="T321" i="4" s="1"/>
  <c r="M322" i="4"/>
  <c r="T322" i="4" s="1"/>
  <c r="N321" i="4"/>
  <c r="T382" i="4" s="1"/>
  <c r="M366" i="4"/>
  <c r="T366" i="4" s="1"/>
  <c r="P879" i="4"/>
  <c r="O879" i="4"/>
  <c r="N137" i="4"/>
  <c r="T198" i="4" s="1"/>
  <c r="N111" i="4"/>
  <c r="T172" i="4" s="1"/>
  <c r="N121" i="4"/>
  <c r="T182" i="4" s="1"/>
  <c r="N145" i="4"/>
  <c r="T206" i="4" s="1"/>
  <c r="M99" i="4"/>
  <c r="T99" i="4" s="1"/>
  <c r="M95" i="4"/>
  <c r="T95" i="4" s="1"/>
  <c r="N143" i="4"/>
  <c r="T204" i="4" s="1"/>
  <c r="N95" i="4"/>
  <c r="T156" i="4" s="1"/>
  <c r="M120" i="4"/>
  <c r="T120" i="4" s="1"/>
  <c r="N140" i="4"/>
  <c r="T201" i="4" s="1"/>
  <c r="M143" i="4"/>
  <c r="T143" i="4" s="1"/>
  <c r="N94" i="4"/>
  <c r="T155" i="4" s="1"/>
  <c r="N133" i="4"/>
  <c r="T194" i="4" s="1"/>
  <c r="M111" i="4"/>
  <c r="T111" i="4" s="1"/>
  <c r="M145" i="4"/>
  <c r="T145" i="4" s="1"/>
  <c r="N98" i="4"/>
  <c r="T159" i="4" s="1"/>
  <c r="M98" i="4"/>
  <c r="T98" i="4" s="1"/>
  <c r="N99" i="4"/>
  <c r="T160" i="4" s="1"/>
  <c r="N147" i="4"/>
  <c r="T208" i="4" s="1"/>
  <c r="M94" i="4"/>
  <c r="T94" i="4" s="1"/>
  <c r="M147" i="4"/>
  <c r="T147" i="4" s="1"/>
  <c r="N120" i="4"/>
  <c r="T181" i="4" s="1"/>
  <c r="M140" i="4"/>
  <c r="T140" i="4" s="1"/>
  <c r="M104" i="4"/>
  <c r="T104" i="4" s="1"/>
  <c r="M133" i="4"/>
  <c r="T133" i="4" s="1"/>
  <c r="N101" i="4"/>
  <c r="T162" i="4" s="1"/>
  <c r="M101" i="4"/>
  <c r="T101" i="4" s="1"/>
  <c r="N130" i="4"/>
  <c r="T191" i="4" s="1"/>
  <c r="M114" i="4"/>
  <c r="T114" i="4" s="1"/>
  <c r="N126" i="4"/>
  <c r="T187" i="4" s="1"/>
  <c r="M102" i="4"/>
  <c r="T102" i="4" s="1"/>
  <c r="N117" i="4"/>
  <c r="T178" i="4" s="1"/>
  <c r="N125" i="4"/>
  <c r="T186" i="4" s="1"/>
  <c r="M93" i="4"/>
  <c r="T93" i="4" s="1"/>
  <c r="N103" i="4"/>
  <c r="T164" i="4" s="1"/>
  <c r="N105" i="4"/>
  <c r="T166" i="4" s="1"/>
  <c r="M108" i="4"/>
  <c r="T108" i="4" s="1"/>
  <c r="N116" i="4"/>
  <c r="T177" i="4" s="1"/>
  <c r="N128" i="4"/>
  <c r="T189" i="4" s="1"/>
  <c r="N96" i="4"/>
  <c r="T157" i="4" s="1"/>
  <c r="N119" i="4"/>
  <c r="T180" i="4" s="1"/>
  <c r="N102" i="4"/>
  <c r="T163" i="4" s="1"/>
  <c r="M97" i="4"/>
  <c r="T97" i="4" s="1"/>
  <c r="N141" i="4"/>
  <c r="T202" i="4" s="1"/>
  <c r="N150" i="4"/>
  <c r="T211" i="4" s="1"/>
  <c r="N97" i="4"/>
  <c r="T158" i="4" s="1"/>
  <c r="N131" i="4"/>
  <c r="T192" i="4" s="1"/>
  <c r="M131" i="4"/>
  <c r="T131" i="4" s="1"/>
  <c r="N127" i="4"/>
  <c r="T188" i="4" s="1"/>
  <c r="N148" i="4"/>
  <c r="T209" i="4" s="1"/>
  <c r="M103" i="4"/>
  <c r="T103" i="4" s="1"/>
  <c r="N107" i="4"/>
  <c r="T168" i="4" s="1"/>
  <c r="M148" i="4"/>
  <c r="T148" i="4" s="1"/>
  <c r="M107" i="4"/>
  <c r="T107" i="4" s="1"/>
  <c r="N93" i="4"/>
  <c r="T154" i="4" s="1"/>
  <c r="N122" i="4"/>
  <c r="T183" i="4" s="1"/>
  <c r="M124" i="4"/>
  <c r="T124" i="4" s="1"/>
  <c r="N139" i="4"/>
  <c r="T200" i="4" s="1"/>
  <c r="N100" i="4"/>
  <c r="T161" i="4" s="1"/>
  <c r="M146" i="4"/>
  <c r="T146" i="4" s="1"/>
  <c r="N142" i="4"/>
  <c r="T203" i="4" s="1"/>
  <c r="N115" i="4"/>
  <c r="T176" i="4" s="1"/>
  <c r="N91" i="4"/>
  <c r="T152" i="4" s="1"/>
  <c r="N108" i="4"/>
  <c r="T169" i="4" s="1"/>
  <c r="M117" i="4"/>
  <c r="T117" i="4" s="1"/>
  <c r="M141" i="4"/>
  <c r="T141" i="4" s="1"/>
  <c r="M142" i="4"/>
  <c r="T142" i="4" s="1"/>
  <c r="M150" i="4"/>
  <c r="T150" i="4" s="1"/>
  <c r="M125" i="4"/>
  <c r="T125" i="4" s="1"/>
  <c r="M127" i="4"/>
  <c r="T127" i="4" s="1"/>
  <c r="N134" i="4"/>
  <c r="T195" i="4" s="1"/>
  <c r="N118" i="4"/>
  <c r="T179" i="4" s="1"/>
  <c r="M134" i="4"/>
  <c r="T134" i="4" s="1"/>
  <c r="M116" i="4"/>
  <c r="T116" i="4" s="1"/>
  <c r="M118" i="4"/>
  <c r="T118" i="4" s="1"/>
  <c r="M122" i="4"/>
  <c r="T122" i="4" s="1"/>
  <c r="M115" i="4"/>
  <c r="T115" i="4" s="1"/>
  <c r="N124" i="4"/>
  <c r="T185" i="4" s="1"/>
  <c r="M139" i="4"/>
  <c r="T139" i="4" s="1"/>
  <c r="M91" i="4"/>
  <c r="T91" i="4" s="1"/>
  <c r="M105" i="4"/>
  <c r="T105" i="4" s="1"/>
  <c r="M128" i="4"/>
  <c r="T128" i="4" s="1"/>
  <c r="N106" i="4"/>
  <c r="T167" i="4" s="1"/>
  <c r="M126" i="4"/>
  <c r="T126" i="4" s="1"/>
  <c r="M92" i="4"/>
  <c r="T92" i="4" s="1"/>
  <c r="M144" i="4"/>
  <c r="T144" i="4" s="1"/>
  <c r="N123" i="4"/>
  <c r="T184" i="4" s="1"/>
  <c r="N110" i="4"/>
  <c r="T171" i="4" s="1"/>
  <c r="M135" i="4"/>
  <c r="T135" i="4" s="1"/>
  <c r="M106" i="4"/>
  <c r="T106" i="4" s="1"/>
  <c r="M149" i="4"/>
  <c r="T149" i="4" s="1"/>
  <c r="N92" i="4"/>
  <c r="T153" i="4" s="1"/>
  <c r="N144" i="4"/>
  <c r="T205" i="4" s="1"/>
  <c r="N149" i="4"/>
  <c r="T210" i="4" s="1"/>
  <c r="M130" i="4"/>
  <c r="T130" i="4" s="1"/>
  <c r="M129" i="4"/>
  <c r="T129" i="4" s="1"/>
  <c r="M123" i="4"/>
  <c r="T123" i="4" s="1"/>
  <c r="N129" i="4"/>
  <c r="T190" i="4" s="1"/>
  <c r="M109" i="4"/>
  <c r="T109" i="4" s="1"/>
  <c r="M96" i="4"/>
  <c r="T96" i="4" s="1"/>
  <c r="M132" i="4"/>
  <c r="T132" i="4" s="1"/>
  <c r="N114" i="4"/>
  <c r="T175" i="4" s="1"/>
  <c r="M119" i="4"/>
  <c r="T119" i="4" s="1"/>
  <c r="N135" i="4"/>
  <c r="T196" i="4" s="1"/>
  <c r="N104" i="4"/>
  <c r="T165" i="4" s="1"/>
  <c r="N109" i="4"/>
  <c r="T170" i="4" s="1"/>
  <c r="N132" i="4"/>
  <c r="T193" i="4" s="1"/>
  <c r="M110" i="4"/>
  <c r="T110" i="4" s="1"/>
  <c r="N136" i="4"/>
  <c r="T197" i="4" s="1"/>
  <c r="N113" i="4"/>
  <c r="T174" i="4" s="1"/>
  <c r="N112" i="4"/>
  <c r="T173" i="4" s="1"/>
  <c r="M136" i="4"/>
  <c r="T136" i="4" s="1"/>
  <c r="M113" i="4"/>
  <c r="T113" i="4" s="1"/>
  <c r="M112" i="4"/>
  <c r="T112" i="4" s="1"/>
  <c r="M138" i="4"/>
  <c r="T138" i="4" s="1"/>
  <c r="N138" i="4"/>
  <c r="T199" i="4" s="1"/>
  <c r="M100" i="4"/>
  <c r="T100" i="4" s="1"/>
  <c r="M121" i="4"/>
  <c r="T121" i="4" s="1"/>
  <c r="M137" i="4"/>
  <c r="T137" i="4" s="1"/>
  <c r="N146" i="4"/>
  <c r="T207" i="4" s="1"/>
  <c r="N335" i="4" l="1"/>
  <c r="T396" i="4" s="1"/>
  <c r="M330" i="4"/>
  <c r="T330" i="4" s="1"/>
  <c r="M332" i="4"/>
  <c r="T332" i="4" s="1"/>
  <c r="M354" i="4"/>
  <c r="T354" i="4" s="1"/>
  <c r="M370" i="4"/>
  <c r="T370" i="4" s="1"/>
  <c r="M333" i="4"/>
  <c r="T333" i="4" s="1"/>
  <c r="M336" i="4"/>
  <c r="T336" i="4" s="1"/>
  <c r="N370" i="4"/>
  <c r="T431" i="4" s="1"/>
  <c r="M362" i="4"/>
  <c r="T362" i="4" s="1"/>
  <c r="M323" i="4"/>
  <c r="T323" i="4" s="1"/>
  <c r="M345" i="4"/>
  <c r="T345" i="4" s="1"/>
  <c r="N345" i="4"/>
  <c r="T406" i="4" s="1"/>
  <c r="O649" i="4"/>
  <c r="Q649" i="4" s="1"/>
  <c r="O650" i="4" s="1"/>
  <c r="M380" i="4"/>
  <c r="T380" i="4" s="1"/>
  <c r="N367" i="4"/>
  <c r="T428" i="4" s="1"/>
  <c r="M372" i="4"/>
  <c r="T372" i="4" s="1"/>
  <c r="N327" i="4"/>
  <c r="T388" i="4" s="1"/>
  <c r="M349" i="4"/>
  <c r="T349" i="4" s="1"/>
  <c r="N379" i="4"/>
  <c r="T440" i="4" s="1"/>
  <c r="M363" i="4"/>
  <c r="T363" i="4" s="1"/>
  <c r="N378" i="4"/>
  <c r="T439" i="4" s="1"/>
  <c r="N372" i="4"/>
  <c r="T433" i="4" s="1"/>
  <c r="N331" i="4"/>
  <c r="T392" i="4" s="1"/>
  <c r="N363" i="4"/>
  <c r="T424" i="4" s="1"/>
  <c r="M359" i="4"/>
  <c r="T359" i="4" s="1"/>
  <c r="M327" i="4"/>
  <c r="T327" i="4" s="1"/>
  <c r="M379" i="4"/>
  <c r="T379" i="4" s="1"/>
  <c r="N377" i="4"/>
  <c r="T438" i="4" s="1"/>
  <c r="N342" i="4"/>
  <c r="T403" i="4" s="1"/>
  <c r="M334" i="4"/>
  <c r="T334" i="4" s="1"/>
  <c r="N349" i="4"/>
  <c r="T410" i="4" s="1"/>
  <c r="Q879" i="4"/>
  <c r="P880" i="4" s="1"/>
  <c r="N337" i="4"/>
  <c r="T398" i="4" s="1"/>
  <c r="M331" i="4"/>
  <c r="T331" i="4" s="1"/>
  <c r="N334" i="4"/>
  <c r="T395" i="4" s="1"/>
  <c r="O880" i="4" l="1"/>
  <c r="Q880" i="4" s="1"/>
  <c r="B713" i="4" s="1"/>
  <c r="P650" i="4"/>
  <c r="Q650" i="4" s="1"/>
  <c r="B483" i="4" s="1"/>
  <c r="N803" i="4" l="1"/>
  <c r="T864" i="4" s="1"/>
  <c r="N798" i="4"/>
  <c r="T859" i="4" s="1"/>
  <c r="M821" i="4"/>
  <c r="T821" i="4" s="1"/>
  <c r="N825" i="4"/>
  <c r="T886" i="4" s="1"/>
  <c r="M797" i="4"/>
  <c r="T797" i="4" s="1"/>
  <c r="N793" i="4"/>
  <c r="T854" i="4" s="1"/>
  <c r="N838" i="4"/>
  <c r="T899" i="4" s="1"/>
  <c r="M795" i="4"/>
  <c r="T795" i="4" s="1"/>
  <c r="N815" i="4"/>
  <c r="T876" i="4" s="1"/>
  <c r="M806" i="4"/>
  <c r="T806" i="4" s="1"/>
  <c r="M811" i="4"/>
  <c r="T811" i="4" s="1"/>
  <c r="M823" i="4"/>
  <c r="T823" i="4" s="1"/>
  <c r="M816" i="4"/>
  <c r="T816" i="4" s="1"/>
  <c r="N826" i="4"/>
  <c r="T887" i="4" s="1"/>
  <c r="M831" i="4"/>
  <c r="T831" i="4" s="1"/>
  <c r="M785" i="4"/>
  <c r="T785" i="4" s="1"/>
  <c r="N831" i="4"/>
  <c r="T892" i="4" s="1"/>
  <c r="N828" i="4"/>
  <c r="T889" i="4" s="1"/>
  <c r="M812" i="4"/>
  <c r="T812" i="4" s="1"/>
  <c r="M788" i="4"/>
  <c r="T788" i="4" s="1"/>
  <c r="N836" i="4"/>
  <c r="T897" i="4" s="1"/>
  <c r="N784" i="4"/>
  <c r="T845" i="4" s="1"/>
  <c r="N799" i="4"/>
  <c r="T860" i="4" s="1"/>
  <c r="M805" i="4"/>
  <c r="T805" i="4" s="1"/>
  <c r="N792" i="4"/>
  <c r="T853" i="4" s="1"/>
  <c r="M807" i="4"/>
  <c r="T807" i="4" s="1"/>
  <c r="N820" i="4"/>
  <c r="T881" i="4" s="1"/>
  <c r="N801" i="4"/>
  <c r="T862" i="4" s="1"/>
  <c r="N817" i="4"/>
  <c r="T878" i="4" s="1"/>
  <c r="N789" i="4"/>
  <c r="T850" i="4" s="1"/>
  <c r="M839" i="4"/>
  <c r="T839" i="4" s="1"/>
  <c r="N809" i="4"/>
  <c r="T870" i="4" s="1"/>
  <c r="N839" i="4"/>
  <c r="T900" i="4" s="1"/>
  <c r="M814" i="4"/>
  <c r="T814" i="4" s="1"/>
  <c r="N834" i="4"/>
  <c r="T895" i="4" s="1"/>
  <c r="M791" i="4"/>
  <c r="T791" i="4" s="1"/>
  <c r="M799" i="4"/>
  <c r="T799" i="4" s="1"/>
  <c r="M824" i="4"/>
  <c r="T824" i="4" s="1"/>
  <c r="M827" i="4"/>
  <c r="T827" i="4" s="1"/>
  <c r="M825" i="4"/>
  <c r="T825" i="4" s="1"/>
  <c r="M783" i="4"/>
  <c r="T783" i="4" s="1"/>
  <c r="M793" i="4"/>
  <c r="T793" i="4" s="1"/>
  <c r="N805" i="4"/>
  <c r="T866" i="4" s="1"/>
  <c r="M787" i="4"/>
  <c r="T787" i="4" s="1"/>
  <c r="N797" i="4"/>
  <c r="T858" i="4" s="1"/>
  <c r="M784" i="4"/>
  <c r="T784" i="4" s="1"/>
  <c r="N795" i="4"/>
  <c r="T856" i="4" s="1"/>
  <c r="M820" i="4"/>
  <c r="T820" i="4" s="1"/>
  <c r="N782" i="4"/>
  <c r="T843" i="4" s="1"/>
  <c r="M808" i="4"/>
  <c r="T808" i="4" s="1"/>
  <c r="N785" i="4"/>
  <c r="T846" i="4" s="1"/>
  <c r="N794" i="4"/>
  <c r="T855" i="4" s="1"/>
  <c r="M789" i="4"/>
  <c r="T789" i="4" s="1"/>
  <c r="M800" i="4"/>
  <c r="T800" i="4" s="1"/>
  <c r="N788" i="4"/>
  <c r="T849" i="4" s="1"/>
  <c r="M796" i="4"/>
  <c r="T796" i="4" s="1"/>
  <c r="N830" i="4"/>
  <c r="T891" i="4" s="1"/>
  <c r="N790" i="4"/>
  <c r="T851" i="4" s="1"/>
  <c r="N813" i="4"/>
  <c r="T874" i="4" s="1"/>
  <c r="N811" i="4"/>
  <c r="T872" i="4" s="1"/>
  <c r="M818" i="4"/>
  <c r="T818" i="4" s="1"/>
  <c r="N786" i="4"/>
  <c r="T847" i="4" s="1"/>
  <c r="N832" i="4"/>
  <c r="T893" i="4" s="1"/>
  <c r="N808" i="4"/>
  <c r="T869" i="4" s="1"/>
  <c r="M810" i="4"/>
  <c r="T810" i="4" s="1"/>
  <c r="N806" i="4"/>
  <c r="T867" i="4" s="1"/>
  <c r="M794" i="4"/>
  <c r="T794" i="4" s="1"/>
  <c r="N781" i="4"/>
  <c r="T842" i="4" s="1"/>
  <c r="N822" i="4"/>
  <c r="T883" i="4" s="1"/>
  <c r="M809" i="4"/>
  <c r="T809" i="4" s="1"/>
  <c r="N823" i="4"/>
  <c r="T884" i="4" s="1"/>
  <c r="M834" i="4"/>
  <c r="T834" i="4" s="1"/>
  <c r="M836" i="4"/>
  <c r="T836" i="4" s="1"/>
  <c r="M792" i="4"/>
  <c r="T792" i="4" s="1"/>
  <c r="M804" i="4"/>
  <c r="T804" i="4" s="1"/>
  <c r="M815" i="4"/>
  <c r="T815" i="4" s="1"/>
  <c r="M798" i="4"/>
  <c r="T798" i="4" s="1"/>
  <c r="M801" i="4"/>
  <c r="T801" i="4" s="1"/>
  <c r="M837" i="4"/>
  <c r="T837" i="4" s="1"/>
  <c r="M840" i="4"/>
  <c r="T840" i="4" s="1"/>
  <c r="M832" i="4"/>
  <c r="T832" i="4" s="1"/>
  <c r="M803" i="4"/>
  <c r="T803" i="4" s="1"/>
  <c r="N835" i="4"/>
  <c r="T896" i="4" s="1"/>
  <c r="M826" i="4"/>
  <c r="T826" i="4" s="1"/>
  <c r="N812" i="4"/>
  <c r="T873" i="4" s="1"/>
  <c r="N804" i="4"/>
  <c r="T865" i="4" s="1"/>
  <c r="N833" i="4"/>
  <c r="T894" i="4" s="1"/>
  <c r="N807" i="4"/>
  <c r="T868" i="4" s="1"/>
  <c r="N787" i="4"/>
  <c r="T848" i="4" s="1"/>
  <c r="M790" i="4"/>
  <c r="T790" i="4" s="1"/>
  <c r="N816" i="4"/>
  <c r="T877" i="4" s="1"/>
  <c r="M817" i="4"/>
  <c r="T817" i="4" s="1"/>
  <c r="M830" i="4"/>
  <c r="T830" i="4" s="1"/>
  <c r="M829" i="4"/>
  <c r="T829" i="4" s="1"/>
  <c r="N824" i="4"/>
  <c r="T885" i="4" s="1"/>
  <c r="N796" i="4"/>
  <c r="T857" i="4" s="1"/>
  <c r="M802" i="4"/>
  <c r="T802" i="4" s="1"/>
  <c r="M835" i="4"/>
  <c r="T835" i="4" s="1"/>
  <c r="M828" i="4"/>
  <c r="T828" i="4" s="1"/>
  <c r="M782" i="4"/>
  <c r="T782" i="4" s="1"/>
  <c r="N810" i="4"/>
  <c r="T871" i="4" s="1"/>
  <c r="N800" i="4"/>
  <c r="T861" i="4" s="1"/>
  <c r="N827" i="4"/>
  <c r="T888" i="4" s="1"/>
  <c r="N840" i="4"/>
  <c r="T901" i="4" s="1"/>
  <c r="M838" i="4"/>
  <c r="T838" i="4" s="1"/>
  <c r="M822" i="4"/>
  <c r="T822" i="4" s="1"/>
  <c r="M819" i="4"/>
  <c r="T819" i="4" s="1"/>
  <c r="M786" i="4"/>
  <c r="T786" i="4" s="1"/>
  <c r="N791" i="4"/>
  <c r="T852" i="4" s="1"/>
  <c r="M781" i="4"/>
  <c r="T781" i="4" s="1"/>
  <c r="M833" i="4"/>
  <c r="T833" i="4" s="1"/>
  <c r="N829" i="4"/>
  <c r="T890" i="4" s="1"/>
  <c r="N814" i="4"/>
  <c r="T875" i="4" s="1"/>
  <c r="N837" i="4"/>
  <c r="T898" i="4" s="1"/>
  <c r="N819" i="4"/>
  <c r="T880" i="4" s="1"/>
  <c r="N783" i="4"/>
  <c r="T844" i="4" s="1"/>
  <c r="N818" i="4"/>
  <c r="T879" i="4" s="1"/>
  <c r="M813" i="4"/>
  <c r="T813" i="4" s="1"/>
  <c r="N821" i="4"/>
  <c r="T882" i="4" s="1"/>
  <c r="N802" i="4"/>
  <c r="T863" i="4" s="1"/>
  <c r="M586" i="4"/>
  <c r="T586" i="4" s="1"/>
  <c r="N586" i="4"/>
  <c r="T647" i="4" s="1"/>
  <c r="N571" i="4"/>
  <c r="T632" i="4" s="1"/>
  <c r="M601" i="4"/>
  <c r="T601" i="4" s="1"/>
  <c r="M571" i="4"/>
  <c r="T571" i="4" s="1"/>
  <c r="N601" i="4"/>
  <c r="T662" i="4" s="1"/>
  <c r="N609" i="4"/>
  <c r="T670" i="4" s="1"/>
  <c r="N581" i="4"/>
  <c r="T642" i="4" s="1"/>
  <c r="N564" i="4"/>
  <c r="T625" i="4" s="1"/>
  <c r="M576" i="4"/>
  <c r="T576" i="4" s="1"/>
  <c r="N577" i="4"/>
  <c r="T638" i="4" s="1"/>
  <c r="M597" i="4"/>
  <c r="T597" i="4" s="1"/>
  <c r="N563" i="4"/>
  <c r="T624" i="4" s="1"/>
  <c r="N600" i="4"/>
  <c r="T661" i="4" s="1"/>
  <c r="M563" i="4"/>
  <c r="T563" i="4" s="1"/>
  <c r="M594" i="4"/>
  <c r="T594" i="4" s="1"/>
  <c r="N590" i="4"/>
  <c r="T651" i="4" s="1"/>
  <c r="N596" i="4"/>
  <c r="T657" i="4" s="1"/>
  <c r="M609" i="4"/>
  <c r="T609" i="4" s="1"/>
  <c r="M577" i="4"/>
  <c r="T577" i="4" s="1"/>
  <c r="M600" i="4"/>
  <c r="T600" i="4" s="1"/>
  <c r="N597" i="4"/>
  <c r="T658" i="4" s="1"/>
  <c r="N594" i="4"/>
  <c r="T655" i="4" s="1"/>
  <c r="M595" i="4"/>
  <c r="T595" i="4" s="1"/>
  <c r="N595" i="4"/>
  <c r="T656" i="4" s="1"/>
  <c r="N558" i="4"/>
  <c r="T619" i="4" s="1"/>
  <c r="M590" i="4"/>
  <c r="T590" i="4" s="1"/>
  <c r="M596" i="4"/>
  <c r="T596" i="4" s="1"/>
  <c r="N603" i="4"/>
  <c r="T664" i="4" s="1"/>
  <c r="N559" i="4"/>
  <c r="T620" i="4" s="1"/>
  <c r="N607" i="4"/>
  <c r="T668" i="4" s="1"/>
  <c r="N592" i="4"/>
  <c r="T653" i="4" s="1"/>
  <c r="N555" i="4"/>
  <c r="T616" i="4" s="1"/>
  <c r="M551" i="4"/>
  <c r="T551" i="4" s="1"/>
  <c r="M562" i="4"/>
  <c r="T562" i="4" s="1"/>
  <c r="N591" i="4"/>
  <c r="T652" i="4" s="1"/>
  <c r="N553" i="4"/>
  <c r="T614" i="4" s="1"/>
  <c r="M603" i="4"/>
  <c r="T603" i="4" s="1"/>
  <c r="M565" i="4"/>
  <c r="T565" i="4" s="1"/>
  <c r="N572" i="4"/>
  <c r="T633" i="4" s="1"/>
  <c r="N605" i="4"/>
  <c r="T666" i="4" s="1"/>
  <c r="M592" i="4"/>
  <c r="T592" i="4" s="1"/>
  <c r="N561" i="4"/>
  <c r="T622" i="4" s="1"/>
  <c r="N565" i="4"/>
  <c r="T626" i="4" s="1"/>
  <c r="M572" i="4"/>
  <c r="T572" i="4" s="1"/>
  <c r="M605" i="4"/>
  <c r="T605" i="4" s="1"/>
  <c r="N551" i="4"/>
  <c r="T612" i="4" s="1"/>
  <c r="N570" i="4"/>
  <c r="T631" i="4" s="1"/>
  <c r="N554" i="4"/>
  <c r="T615" i="4" s="1"/>
  <c r="N556" i="4"/>
  <c r="T617" i="4" s="1"/>
  <c r="M554" i="4"/>
  <c r="T554" i="4" s="1"/>
  <c r="M556" i="4"/>
  <c r="T556" i="4" s="1"/>
  <c r="M589" i="4"/>
  <c r="T589" i="4" s="1"/>
  <c r="N582" i="4"/>
  <c r="T643" i="4" s="1"/>
  <c r="M579" i="4"/>
  <c r="T579" i="4" s="1"/>
  <c r="N584" i="4"/>
  <c r="T645" i="4" s="1"/>
  <c r="N567" i="4"/>
  <c r="T628" i="4" s="1"/>
  <c r="M582" i="4"/>
  <c r="T582" i="4" s="1"/>
  <c r="M584" i="4"/>
  <c r="T584" i="4" s="1"/>
  <c r="M591" i="4"/>
  <c r="T591" i="4" s="1"/>
  <c r="M561" i="4"/>
  <c r="T561" i="4" s="1"/>
  <c r="M555" i="4"/>
  <c r="T555" i="4" s="1"/>
  <c r="N588" i="4"/>
  <c r="T649" i="4" s="1"/>
  <c r="M569" i="4"/>
  <c r="T569" i="4" s="1"/>
  <c r="M570" i="4"/>
  <c r="T570" i="4" s="1"/>
  <c r="N562" i="4"/>
  <c r="T623" i="4" s="1"/>
  <c r="N589" i="4"/>
  <c r="T650" i="4" s="1"/>
  <c r="M588" i="4"/>
  <c r="T588" i="4" s="1"/>
  <c r="M567" i="4"/>
  <c r="T567" i="4" s="1"/>
  <c r="N569" i="4"/>
  <c r="T630" i="4" s="1"/>
  <c r="N579" i="4"/>
  <c r="T640" i="4" s="1"/>
  <c r="N602" i="4"/>
  <c r="T663" i="4" s="1"/>
  <c r="M607" i="4"/>
  <c r="T607" i="4" s="1"/>
  <c r="M599" i="4"/>
  <c r="T599" i="4" s="1"/>
  <c r="N566" i="4"/>
  <c r="T627" i="4" s="1"/>
  <c r="M566" i="4"/>
  <c r="T566" i="4" s="1"/>
  <c r="N599" i="4"/>
  <c r="T660" i="4" s="1"/>
  <c r="N575" i="4"/>
  <c r="T636" i="4" s="1"/>
  <c r="N568" i="4"/>
  <c r="T629" i="4" s="1"/>
  <c r="M573" i="4"/>
  <c r="T573" i="4" s="1"/>
  <c r="M598" i="4"/>
  <c r="T598" i="4" s="1"/>
  <c r="N604" i="4"/>
  <c r="T665" i="4" s="1"/>
  <c r="M604" i="4"/>
  <c r="T604" i="4" s="1"/>
  <c r="M553" i="4"/>
  <c r="T553" i="4" s="1"/>
  <c r="N606" i="4"/>
  <c r="T667" i="4" s="1"/>
  <c r="N560" i="4"/>
  <c r="T621" i="4" s="1"/>
  <c r="M578" i="4"/>
  <c r="T578" i="4" s="1"/>
  <c r="M593" i="4"/>
  <c r="T593" i="4" s="1"/>
  <c r="N574" i="4"/>
  <c r="T635" i="4" s="1"/>
  <c r="M608" i="4"/>
  <c r="T608" i="4" s="1"/>
  <c r="M558" i="4"/>
  <c r="T558" i="4" s="1"/>
  <c r="M575" i="4"/>
  <c r="T575" i="4" s="1"/>
  <c r="N598" i="4"/>
  <c r="T659" i="4" s="1"/>
  <c r="M568" i="4"/>
  <c r="T568" i="4" s="1"/>
  <c r="N573" i="4"/>
  <c r="T634" i="4" s="1"/>
  <c r="M606" i="4"/>
  <c r="T606" i="4" s="1"/>
  <c r="M560" i="4"/>
  <c r="T560" i="4" s="1"/>
  <c r="M559" i="4"/>
  <c r="T559" i="4" s="1"/>
  <c r="N576" i="4"/>
  <c r="T637" i="4" s="1"/>
  <c r="N578" i="4"/>
  <c r="T639" i="4" s="1"/>
  <c r="N593" i="4"/>
  <c r="T654" i="4" s="1"/>
  <c r="M574" i="4"/>
  <c r="T574" i="4" s="1"/>
  <c r="M610" i="4"/>
  <c r="T610" i="4" s="1"/>
  <c r="N610" i="4"/>
  <c r="T671" i="4" s="1"/>
  <c r="M564" i="4"/>
  <c r="T564" i="4" s="1"/>
  <c r="N557" i="4"/>
  <c r="T618" i="4" s="1"/>
  <c r="M557" i="4"/>
  <c r="T557" i="4" s="1"/>
  <c r="M580" i="4"/>
  <c r="T580" i="4" s="1"/>
  <c r="M581" i="4"/>
  <c r="T581" i="4" s="1"/>
  <c r="N580" i="4"/>
  <c r="T641" i="4" s="1"/>
  <c r="M587" i="4"/>
  <c r="T587" i="4" s="1"/>
  <c r="N585" i="4"/>
  <c r="T646" i="4" s="1"/>
  <c r="N587" i="4"/>
  <c r="T648" i="4" s="1"/>
  <c r="N583" i="4"/>
  <c r="T644" i="4" s="1"/>
  <c r="M585" i="4"/>
  <c r="T585" i="4" s="1"/>
  <c r="M583" i="4"/>
  <c r="T583" i="4" s="1"/>
  <c r="M552" i="4"/>
  <c r="T552" i="4" s="1"/>
  <c r="N552" i="4"/>
  <c r="T613" i="4" s="1"/>
  <c r="M602" i="4"/>
  <c r="T602" i="4" s="1"/>
  <c r="N608" i="4"/>
  <c r="T669" i="4" s="1"/>
</calcChain>
</file>

<file path=xl/sharedStrings.xml><?xml version="1.0" encoding="utf-8"?>
<sst xmlns="http://schemas.openxmlformats.org/spreadsheetml/2006/main" count="370" uniqueCount="74">
  <si>
    <t>id2</t>
  </si>
  <si>
    <t>Л1</t>
  </si>
  <si>
    <t>К1</t>
  </si>
  <si>
    <t>К2</t>
  </si>
  <si>
    <t>К3</t>
  </si>
  <si>
    <t>ТК1</t>
  </si>
  <si>
    <t>ТК2</t>
  </si>
  <si>
    <t>ТК3</t>
  </si>
  <si>
    <t>ТК4</t>
  </si>
  <si>
    <t>ТК5</t>
  </si>
  <si>
    <t>Корреляционный анализ Спирмана</t>
  </si>
  <si>
    <t>Измените жёлтые поля: названия и подписи осей обновятся в диаграммах.</t>
  </si>
  <si>
    <t>Диаграммы можно копировать в Word. Шкалы настраиваются через «Формат оси».</t>
  </si>
  <si>
    <t>Название</t>
  </si>
  <si>
    <t>К1 в зависимости от Л1</t>
  </si>
  <si>
    <t>Ось X</t>
  </si>
  <si>
    <t>Ось Y</t>
  </si>
  <si>
    <t>К2 в зависимости от Л1</t>
  </si>
  <si>
    <t>К3 в зависимости от Л1</t>
  </si>
  <si>
    <t>ТК1 в зависимости от Л1</t>
  </si>
  <si>
    <t>ТК2 в зависимости от Л1</t>
  </si>
  <si>
    <t>ТК3 в зависимости от Л1</t>
  </si>
  <si>
    <t>ТК4 в зависимости от Л1</t>
  </si>
  <si>
    <t>ТК5 в зависимости от Л1</t>
  </si>
  <si>
    <t>Линейная регрессия</t>
  </si>
  <si>
    <t>Линейная регрессия К1 по Л1</t>
  </si>
  <si>
    <t>Линейная регрессия К2 по Л1</t>
  </si>
  <si>
    <t>Линейная регрессия К3 по Л1</t>
  </si>
  <si>
    <t>Линейная регрессия ТК1 по Л1</t>
  </si>
  <si>
    <t>Расчёты и данные для диаграмм</t>
  </si>
  <si>
    <t>Квартили: QUARTILE.INC; усы: крайние значения в пределах 1,5 межквартильного размаха.</t>
  </si>
  <si>
    <t>Группировка соответствует исходному файлу. При смене кодов Л1 пересоберите групповые диапазоны.</t>
  </si>
  <si>
    <t>p Спирмана: двусторонняя t-аппроксимация; без поправки на множественные сравнения, как в исходнике.</t>
  </si>
  <si>
    <t>Доверительные границы регрессии относятся к среднему отклику, а не к отдельным наблюдениям.</t>
  </si>
  <si>
    <t>В графиках Спирмана точки сдвинуты по X только для читаемости; статистика использует исходный Л1.</t>
  </si>
  <si>
    <t>Ранг X</t>
  </si>
  <si>
    <t>Ранг Y</t>
  </si>
  <si>
    <t>X для точек</t>
  </si>
  <si>
    <t>Y наблюдения</t>
  </si>
  <si>
    <t>n</t>
  </si>
  <si>
    <t>ρ Спирмана</t>
  </si>
  <si>
    <t>p Спирмана</t>
  </si>
  <si>
    <t>Свободный член a</t>
  </si>
  <si>
    <t>Коэффициент b</t>
  </si>
  <si>
    <t>R²</t>
  </si>
  <si>
    <t>Остаточная ошибка</t>
  </si>
  <si>
    <t>SE коэффициента b</t>
  </si>
  <si>
    <t>Степени свободы</t>
  </si>
  <si>
    <t>t коэффициента b</t>
  </si>
  <si>
    <t>p регрессии</t>
  </si>
  <si>
    <t>t для 95% ДИ</t>
  </si>
  <si>
    <t>Групповые показатели</t>
  </si>
  <si>
    <t>X линии</t>
  </si>
  <si>
    <t>Прогноз</t>
  </si>
  <si>
    <t>Нижняя 95% ДИ</t>
  </si>
  <si>
    <t>Верхняя 95% ДИ</t>
  </si>
  <si>
    <t>X для ДИ</t>
  </si>
  <si>
    <t>Границы 95% ДИ</t>
  </si>
  <si>
    <t>n группы</t>
  </si>
  <si>
    <t>Среднее</t>
  </si>
  <si>
    <t>Q1</t>
  </si>
  <si>
    <t>Медиана</t>
  </si>
  <si>
    <t>Q3</t>
  </si>
  <si>
    <t>IQR</t>
  </si>
  <si>
    <t>Нижняя граница</t>
  </si>
  <si>
    <t>Верхняя граница</t>
  </si>
  <si>
    <t>Нижний ус</t>
  </si>
  <si>
    <t>Верхний ус</t>
  </si>
  <si>
    <t>Медианы (для графика)</t>
  </si>
  <si>
    <t>t: нижняя граница</t>
  </si>
  <si>
    <t>t: верхняя граница</t>
  </si>
  <si>
    <t>t: середина</t>
  </si>
  <si>
    <t>Шаг разнесения точек регрессии</t>
  </si>
  <si>
    <t>X для точек регрессии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</si>
</sst>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263746"/>
      <name val="Calibri"/>
      <family val="2"/>
      <scheme val="minor"/>
    </font>
    <font>
      <b/>
      <sz val="16"/>
      <color rgb="FF263746"/>
      <name val="Calibri"/>
      <family val="2"/>
      <scheme val="minor"/>
    </font>
    <font>
      <sz val="10"/>
      <color rgb="FF263746"/>
      <name val="Calibri"/>
      <family val="2"/>
      <scheme val="minor"/>
    </font>
    <font>
      <b/>
      <sz val="10"/>
      <color rgb="FF263746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rgb="FFE7EFF5"/>
      </patternFill>
    </fill>
    <fill>
      <patternFill patternType="solid">
        <fgColor rgb="FFFFF3C6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">
    <xf numFmtId="0" fontId="0" fillId="0" borderId="0"/>
    <xf numFmtId="0" fontId="6" fillId="0" borderId="0"/>
  </cellStyleXfs>
  <cellXfs count="14">
    <xf numFmtId="0" fontId="0" fillId="0" borderId="0" xfId="0"/>
    <xf numFmtId="0" fontId="1" fillId="2" borderId="1" xfId="1" applyFont="1" applyFill="1" applyBorder="1" applyAlignment="1">
      <alignment horizontal="center"/>
    </xf>
    <xf numFmtId="0" fontId="0" fillId="0" borderId="1" xfId="1" applyFont="1" applyBorder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3" borderId="0" xfId="1" applyFont="1" applyFill="1"/>
    <xf numFmtId="1" fontId="4" fillId="0" borderId="0" xfId="1" applyNumberFormat="1" applyFont="1"/>
    <xf numFmtId="164" fontId="4" fillId="0" borderId="0" xfId="1" applyNumberFormat="1" applyFont="1"/>
    <xf numFmtId="2" fontId="4" fillId="0" borderId="0" xfId="1" applyNumberFormat="1" applyFont="1"/>
    <xf numFmtId="0" fontId="2" fillId="4" borderId="0" xfId="1" applyFont="1" applyFill="1"/>
    <xf numFmtId="0" fontId="0" fillId="0" borderId="0" xfId="0"/>
    <xf numFmtId="0" fontId="7" fillId="0" borderId="0" xfId="0" applyFont="1"/>
    <xf numFmtId="0" fontId="8" fillId="0" borderId="0" xfId="0" applyFont="1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strRef>
          <c:f>Расчёты_графиков!$B$105</c:f>
          <c:strCache>
            <c:ptCount val="1"/>
            <c:pt idx="0">
              <c:v>К1 в зависимости от Л1
ρ = −0,262; p = 0,0241; n = 74</c:v>
            </c:pt>
          </c:strCache>
        </c:strRef>
      </c:tx>
      <c:overlay val="0"/>
      <c:txPr>
        <a:bodyPr/>
        <a:lstStyle/>
        <a:p>
          <a:pPr>
            <a:defRPr sz="1200" b="0">
              <a:solidFill>
                <a:srgbClr val="263746"/>
              </a:solidFill>
              <a:latin typeface="Arial"/>
            </a:defRPr>
          </a:pPr>
          <a:endParaRPr lang="ru-RU"/>
        </a:p>
      </c:txPr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Межквартильный размах и усы</c:v>
          </c:tx>
          <c:spPr>
            <a:ln w="22860">
              <a:solidFill>
                <a:srgbClr val="326A8D"/>
              </a:solidFill>
              <a:prstDash val="solid"/>
            </a:ln>
          </c:spPr>
          <c:marker>
            <c:symbol val="none"/>
          </c:marker>
          <c:xVal>
            <c:numRef>
              <c:f>Расчёты_графиков!$A$110:$A$203</c:f>
              <c:numCache>
                <c:formatCode>General</c:formatCode>
                <c:ptCount val="94"/>
                <c:pt idx="0">
                  <c:v>0.75</c:v>
                </c:pt>
                <c:pt idx="1">
                  <c:v>1.25</c:v>
                </c:pt>
                <c:pt idx="2">
                  <c:v>1.25</c:v>
                </c:pt>
                <c:pt idx="3">
                  <c:v>0.75</c:v>
                </c:pt>
                <c:pt idx="4">
                  <c:v>0.75</c:v>
                </c:pt>
                <c:pt idx="6">
                  <c:v>0.75</c:v>
                </c:pt>
                <c:pt idx="7">
                  <c:v>1.25</c:v>
                </c:pt>
                <c:pt idx="9">
                  <c:v>0.87</c:v>
                </c:pt>
                <c:pt idx="10">
                  <c:v>1.1299999999999999</c:v>
                </c:pt>
                <c:pt idx="11">
                  <c:v>1</c:v>
                </c:pt>
                <c:pt idx="12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0.87</c:v>
                </c:pt>
                <c:pt idx="17">
                  <c:v>1.1299999999999999</c:v>
                </c:pt>
                <c:pt idx="19">
                  <c:v>1.75</c:v>
                </c:pt>
                <c:pt idx="20">
                  <c:v>2.25</c:v>
                </c:pt>
                <c:pt idx="21">
                  <c:v>2.25</c:v>
                </c:pt>
                <c:pt idx="22">
                  <c:v>1.75</c:v>
                </c:pt>
                <c:pt idx="23">
                  <c:v>1.75</c:v>
                </c:pt>
                <c:pt idx="25">
                  <c:v>1.75</c:v>
                </c:pt>
                <c:pt idx="26">
                  <c:v>2.25</c:v>
                </c:pt>
                <c:pt idx="28">
                  <c:v>1.87</c:v>
                </c:pt>
                <c:pt idx="29">
                  <c:v>2.13</c:v>
                </c:pt>
                <c:pt idx="30">
                  <c:v>2</c:v>
                </c:pt>
                <c:pt idx="31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1.87</c:v>
                </c:pt>
                <c:pt idx="36">
                  <c:v>2.13</c:v>
                </c:pt>
                <c:pt idx="38">
                  <c:v>2.75</c:v>
                </c:pt>
                <c:pt idx="39">
                  <c:v>3.25</c:v>
                </c:pt>
                <c:pt idx="40">
                  <c:v>3.25</c:v>
                </c:pt>
                <c:pt idx="41">
                  <c:v>2.75</c:v>
                </c:pt>
                <c:pt idx="42">
                  <c:v>2.75</c:v>
                </c:pt>
                <c:pt idx="44">
                  <c:v>2.75</c:v>
                </c:pt>
                <c:pt idx="45">
                  <c:v>3.25</c:v>
                </c:pt>
                <c:pt idx="47">
                  <c:v>2.87</c:v>
                </c:pt>
                <c:pt idx="48">
                  <c:v>3.13</c:v>
                </c:pt>
                <c:pt idx="49">
                  <c:v>3</c:v>
                </c:pt>
                <c:pt idx="50">
                  <c:v>3</c:v>
                </c:pt>
                <c:pt idx="52">
                  <c:v>3</c:v>
                </c:pt>
                <c:pt idx="53">
                  <c:v>3</c:v>
                </c:pt>
                <c:pt idx="54">
                  <c:v>2.87</c:v>
                </c:pt>
                <c:pt idx="55">
                  <c:v>3.13</c:v>
                </c:pt>
                <c:pt idx="57">
                  <c:v>3.75</c:v>
                </c:pt>
                <c:pt idx="58">
                  <c:v>4.25</c:v>
                </c:pt>
                <c:pt idx="59">
                  <c:v>4.25</c:v>
                </c:pt>
                <c:pt idx="60">
                  <c:v>3.75</c:v>
                </c:pt>
                <c:pt idx="61">
                  <c:v>3.75</c:v>
                </c:pt>
                <c:pt idx="63">
                  <c:v>3.75</c:v>
                </c:pt>
                <c:pt idx="64">
                  <c:v>4.25</c:v>
                </c:pt>
                <c:pt idx="66">
                  <c:v>3.87</c:v>
                </c:pt>
                <c:pt idx="67">
                  <c:v>4.13</c:v>
                </c:pt>
                <c:pt idx="68">
                  <c:v>4</c:v>
                </c:pt>
                <c:pt idx="69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3.87</c:v>
                </c:pt>
                <c:pt idx="74">
                  <c:v>4.13</c:v>
                </c:pt>
                <c:pt idx="76">
                  <c:v>4.75</c:v>
                </c:pt>
                <c:pt idx="77">
                  <c:v>5.25</c:v>
                </c:pt>
                <c:pt idx="78">
                  <c:v>5.25</c:v>
                </c:pt>
                <c:pt idx="79">
                  <c:v>4.75</c:v>
                </c:pt>
                <c:pt idx="80">
                  <c:v>4.75</c:v>
                </c:pt>
                <c:pt idx="82">
                  <c:v>4.75</c:v>
                </c:pt>
                <c:pt idx="83">
                  <c:v>5.25</c:v>
                </c:pt>
                <c:pt idx="85">
                  <c:v>4.87</c:v>
                </c:pt>
                <c:pt idx="86">
                  <c:v>5.13</c:v>
                </c:pt>
                <c:pt idx="87">
                  <c:v>5</c:v>
                </c:pt>
                <c:pt idx="88">
                  <c:v>5</c:v>
                </c:pt>
                <c:pt idx="90">
                  <c:v>5</c:v>
                </c:pt>
                <c:pt idx="91">
                  <c:v>5</c:v>
                </c:pt>
                <c:pt idx="92">
                  <c:v>4.87</c:v>
                </c:pt>
                <c:pt idx="93">
                  <c:v>5.13</c:v>
                </c:pt>
              </c:numCache>
            </c:numRef>
          </c:xVal>
          <c:yVal>
            <c:numRef>
              <c:f>Расчёты_графиков!$B$110:$B$203</c:f>
              <c:numCache>
                <c:formatCode>General</c:formatCode>
                <c:ptCount val="94"/>
                <c:pt idx="0">
                  <c:v>13</c:v>
                </c:pt>
                <c:pt idx="1">
                  <c:v>13</c:v>
                </c:pt>
                <c:pt idx="2">
                  <c:v>18</c:v>
                </c:pt>
                <c:pt idx="3">
                  <c:v>18</c:v>
                </c:pt>
                <c:pt idx="4">
                  <c:v>13</c:v>
                </c:pt>
                <c:pt idx="6">
                  <c:v>14</c:v>
                </c:pt>
                <c:pt idx="7">
                  <c:v>14</c:v>
                </c:pt>
                <c:pt idx="9">
                  <c:v>11</c:v>
                </c:pt>
                <c:pt idx="10">
                  <c:v>11</c:v>
                </c:pt>
                <c:pt idx="11">
                  <c:v>11</c:v>
                </c:pt>
                <c:pt idx="12">
                  <c:v>13</c:v>
                </c:pt>
                <c:pt idx="14">
                  <c:v>18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9">
                  <c:v>16.75</c:v>
                </c:pt>
                <c:pt idx="20">
                  <c:v>16.75</c:v>
                </c:pt>
                <c:pt idx="21">
                  <c:v>21.5</c:v>
                </c:pt>
                <c:pt idx="22">
                  <c:v>21.5</c:v>
                </c:pt>
                <c:pt idx="23">
                  <c:v>16.75</c:v>
                </c:pt>
                <c:pt idx="25">
                  <c:v>18.5</c:v>
                </c:pt>
                <c:pt idx="26">
                  <c:v>18.5</c:v>
                </c:pt>
                <c:pt idx="28">
                  <c:v>12</c:v>
                </c:pt>
                <c:pt idx="29">
                  <c:v>12</c:v>
                </c:pt>
                <c:pt idx="30">
                  <c:v>12</c:v>
                </c:pt>
                <c:pt idx="31">
                  <c:v>16.75</c:v>
                </c:pt>
                <c:pt idx="33">
                  <c:v>21.5</c:v>
                </c:pt>
                <c:pt idx="34">
                  <c:v>27</c:v>
                </c:pt>
                <c:pt idx="35">
                  <c:v>27</c:v>
                </c:pt>
                <c:pt idx="36">
                  <c:v>27</c:v>
                </c:pt>
                <c:pt idx="38">
                  <c:v>10</c:v>
                </c:pt>
                <c:pt idx="39">
                  <c:v>10</c:v>
                </c:pt>
                <c:pt idx="40">
                  <c:v>16</c:v>
                </c:pt>
                <c:pt idx="41">
                  <c:v>16</c:v>
                </c:pt>
                <c:pt idx="42">
                  <c:v>10</c:v>
                </c:pt>
                <c:pt idx="44">
                  <c:v>14</c:v>
                </c:pt>
                <c:pt idx="45">
                  <c:v>14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10</c:v>
                </c:pt>
                <c:pt idx="52">
                  <c:v>16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7">
                  <c:v>10.75</c:v>
                </c:pt>
                <c:pt idx="58">
                  <c:v>10.75</c:v>
                </c:pt>
                <c:pt idx="59">
                  <c:v>15</c:v>
                </c:pt>
                <c:pt idx="60">
                  <c:v>15</c:v>
                </c:pt>
                <c:pt idx="61">
                  <c:v>10.75</c:v>
                </c:pt>
                <c:pt idx="63">
                  <c:v>14</c:v>
                </c:pt>
                <c:pt idx="64">
                  <c:v>14</c:v>
                </c:pt>
                <c:pt idx="66">
                  <c:v>7</c:v>
                </c:pt>
                <c:pt idx="67">
                  <c:v>7</c:v>
                </c:pt>
                <c:pt idx="68">
                  <c:v>7</c:v>
                </c:pt>
                <c:pt idx="69">
                  <c:v>10.75</c:v>
                </c:pt>
                <c:pt idx="71">
                  <c:v>15</c:v>
                </c:pt>
                <c:pt idx="72">
                  <c:v>21</c:v>
                </c:pt>
                <c:pt idx="73">
                  <c:v>21</c:v>
                </c:pt>
                <c:pt idx="74">
                  <c:v>21</c:v>
                </c:pt>
                <c:pt idx="76">
                  <c:v>11</c:v>
                </c:pt>
                <c:pt idx="77">
                  <c:v>11</c:v>
                </c:pt>
                <c:pt idx="78">
                  <c:v>13.75</c:v>
                </c:pt>
                <c:pt idx="79">
                  <c:v>13.75</c:v>
                </c:pt>
                <c:pt idx="80">
                  <c:v>11</c:v>
                </c:pt>
                <c:pt idx="82">
                  <c:v>12</c:v>
                </c:pt>
                <c:pt idx="83">
                  <c:v>12</c:v>
                </c:pt>
                <c:pt idx="85">
                  <c:v>7</c:v>
                </c:pt>
                <c:pt idx="86">
                  <c:v>7</c:v>
                </c:pt>
                <c:pt idx="87">
                  <c:v>7</c:v>
                </c:pt>
                <c:pt idx="88">
                  <c:v>11</c:v>
                </c:pt>
                <c:pt idx="90">
                  <c:v>13.75</c:v>
                </c:pt>
                <c:pt idx="91">
                  <c:v>14</c:v>
                </c:pt>
                <c:pt idx="92">
                  <c:v>14</c:v>
                </c:pt>
                <c:pt idx="93">
                  <c:v>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7CD-408E-B12D-2BF5EE72875B}"/>
            </c:ext>
          </c:extLst>
        </c:ser>
        <c:ser>
          <c:idx val="1"/>
          <c:order val="1"/>
          <c:tx>
            <c:v>Медиана</c:v>
          </c:tx>
          <c:spPr>
            <a:ln w="31750">
              <a:solidFill>
                <a:srgbClr val="203D66"/>
              </a:solidFill>
              <a:prstDash val="solid"/>
            </a:ln>
          </c:spPr>
          <c:marker>
            <c:symbol val="none"/>
          </c:marker>
          <c:xVal>
            <c:numRef>
              <c:f>Расчёты_графиков!$U$110:$U$123</c:f>
              <c:numCache>
                <c:formatCode>General</c:formatCode>
                <c:ptCount val="14"/>
                <c:pt idx="0">
                  <c:v>0.75</c:v>
                </c:pt>
                <c:pt idx="1">
                  <c:v>1.25</c:v>
                </c:pt>
                <c:pt idx="3">
                  <c:v>1.75</c:v>
                </c:pt>
                <c:pt idx="4">
                  <c:v>2.25</c:v>
                </c:pt>
                <c:pt idx="6">
                  <c:v>2.75</c:v>
                </c:pt>
                <c:pt idx="7">
                  <c:v>3.25</c:v>
                </c:pt>
                <c:pt idx="9">
                  <c:v>3.75</c:v>
                </c:pt>
                <c:pt idx="10">
                  <c:v>4.25</c:v>
                </c:pt>
                <c:pt idx="12">
                  <c:v>4.75</c:v>
                </c:pt>
                <c:pt idx="13">
                  <c:v>5.25</c:v>
                </c:pt>
              </c:numCache>
            </c:numRef>
          </c:xVal>
          <c:yVal>
            <c:numRef>
              <c:f>Расчёты_графиков!$V$110:$V$123</c:f>
              <c:numCache>
                <c:formatCode>General</c:formatCode>
                <c:ptCount val="14"/>
                <c:pt idx="0">
                  <c:v>14</c:v>
                </c:pt>
                <c:pt idx="1">
                  <c:v>14</c:v>
                </c:pt>
                <c:pt idx="3">
                  <c:v>18.5</c:v>
                </c:pt>
                <c:pt idx="4">
                  <c:v>18.5</c:v>
                </c:pt>
                <c:pt idx="6">
                  <c:v>14</c:v>
                </c:pt>
                <c:pt idx="7">
                  <c:v>14</c:v>
                </c:pt>
                <c:pt idx="9">
                  <c:v>14</c:v>
                </c:pt>
                <c:pt idx="10">
                  <c:v>14</c:v>
                </c:pt>
                <c:pt idx="12">
                  <c:v>12</c:v>
                </c:pt>
                <c:pt idx="13">
                  <c:v>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7CD-408E-B12D-2BF5EE72875B}"/>
            </c:ext>
          </c:extLst>
        </c:ser>
        <c:ser>
          <c:idx val="2"/>
          <c:order val="2"/>
          <c:tx>
            <c:v>Наблюдения</c:v>
          </c:tx>
          <c:spPr>
            <a:ln>
              <a:noFill/>
              <a:prstDash val="solid"/>
            </a:ln>
          </c:spPr>
          <c:marker>
            <c:symbol val="circle"/>
            <c:size val="5"/>
            <c:spPr>
              <a:solidFill>
                <a:srgbClr val="83969E"/>
              </a:solidFill>
              <a:ln>
                <a:noFill/>
                <a:prstDash val="solid"/>
              </a:ln>
            </c:spPr>
          </c:marker>
          <c:xVal>
            <c:numRef>
              <c:f>Расчёты_графиков!$O$12:$O$85</c:f>
              <c:numCache>
                <c:formatCode>General</c:formatCode>
                <c:ptCount val="74"/>
                <c:pt idx="0">
                  <c:v>0.89500000000000002</c:v>
                </c:pt>
                <c:pt idx="1">
                  <c:v>1.895</c:v>
                </c:pt>
                <c:pt idx="2">
                  <c:v>1.895</c:v>
                </c:pt>
                <c:pt idx="3">
                  <c:v>1.895</c:v>
                </c:pt>
                <c:pt idx="4">
                  <c:v>0.89500000000000002</c:v>
                </c:pt>
                <c:pt idx="5">
                  <c:v>0.89500000000000002</c:v>
                </c:pt>
                <c:pt idx="6">
                  <c:v>0.89500000000000002</c:v>
                </c:pt>
                <c:pt idx="7">
                  <c:v>1.895</c:v>
                </c:pt>
                <c:pt idx="8">
                  <c:v>1.895</c:v>
                </c:pt>
                <c:pt idx="9">
                  <c:v>0.89500000000000002</c:v>
                </c:pt>
                <c:pt idx="10">
                  <c:v>1.895</c:v>
                </c:pt>
                <c:pt idx="11">
                  <c:v>0.89500000000000002</c:v>
                </c:pt>
                <c:pt idx="12">
                  <c:v>0.92999999999999994</c:v>
                </c:pt>
                <c:pt idx="13">
                  <c:v>1.895</c:v>
                </c:pt>
                <c:pt idx="14">
                  <c:v>1.895</c:v>
                </c:pt>
                <c:pt idx="15">
                  <c:v>1.93</c:v>
                </c:pt>
                <c:pt idx="16">
                  <c:v>1.895</c:v>
                </c:pt>
                <c:pt idx="17">
                  <c:v>1.93</c:v>
                </c:pt>
                <c:pt idx="18">
                  <c:v>1.895</c:v>
                </c:pt>
                <c:pt idx="19">
                  <c:v>3.895</c:v>
                </c:pt>
                <c:pt idx="20">
                  <c:v>2.895</c:v>
                </c:pt>
                <c:pt idx="21">
                  <c:v>2.895</c:v>
                </c:pt>
                <c:pt idx="22">
                  <c:v>2.895</c:v>
                </c:pt>
                <c:pt idx="23">
                  <c:v>2.895</c:v>
                </c:pt>
                <c:pt idx="24">
                  <c:v>2.895</c:v>
                </c:pt>
                <c:pt idx="25">
                  <c:v>2.895</c:v>
                </c:pt>
                <c:pt idx="26">
                  <c:v>2.895</c:v>
                </c:pt>
                <c:pt idx="27">
                  <c:v>2.93</c:v>
                </c:pt>
                <c:pt idx="28">
                  <c:v>2.895</c:v>
                </c:pt>
                <c:pt idx="29">
                  <c:v>3.895</c:v>
                </c:pt>
                <c:pt idx="30">
                  <c:v>2.9649999999999999</c:v>
                </c:pt>
                <c:pt idx="31">
                  <c:v>2.895</c:v>
                </c:pt>
                <c:pt idx="32">
                  <c:v>2.895</c:v>
                </c:pt>
                <c:pt idx="33">
                  <c:v>2.93</c:v>
                </c:pt>
                <c:pt idx="34">
                  <c:v>3.895</c:v>
                </c:pt>
                <c:pt idx="35">
                  <c:v>2.895</c:v>
                </c:pt>
                <c:pt idx="36">
                  <c:v>2.895</c:v>
                </c:pt>
                <c:pt idx="37">
                  <c:v>3.895</c:v>
                </c:pt>
                <c:pt idx="38">
                  <c:v>2.93</c:v>
                </c:pt>
                <c:pt idx="39">
                  <c:v>3.895</c:v>
                </c:pt>
                <c:pt idx="40">
                  <c:v>2.9649999999999999</c:v>
                </c:pt>
                <c:pt idx="41">
                  <c:v>3.93</c:v>
                </c:pt>
                <c:pt idx="42">
                  <c:v>2.895</c:v>
                </c:pt>
                <c:pt idx="43">
                  <c:v>3</c:v>
                </c:pt>
                <c:pt idx="44">
                  <c:v>3.93</c:v>
                </c:pt>
                <c:pt idx="45">
                  <c:v>3.0350000000000001</c:v>
                </c:pt>
                <c:pt idx="46">
                  <c:v>3.9649999999999999</c:v>
                </c:pt>
                <c:pt idx="47">
                  <c:v>2.93</c:v>
                </c:pt>
                <c:pt idx="48">
                  <c:v>3.07</c:v>
                </c:pt>
                <c:pt idx="49">
                  <c:v>2.895</c:v>
                </c:pt>
                <c:pt idx="50">
                  <c:v>2.93</c:v>
                </c:pt>
                <c:pt idx="51">
                  <c:v>3.895</c:v>
                </c:pt>
                <c:pt idx="52">
                  <c:v>2.93</c:v>
                </c:pt>
                <c:pt idx="53">
                  <c:v>3.93</c:v>
                </c:pt>
                <c:pt idx="54">
                  <c:v>3.895</c:v>
                </c:pt>
                <c:pt idx="55">
                  <c:v>3.895</c:v>
                </c:pt>
                <c:pt idx="56">
                  <c:v>3.9649999999999999</c:v>
                </c:pt>
                <c:pt idx="57">
                  <c:v>4</c:v>
                </c:pt>
                <c:pt idx="58">
                  <c:v>4</c:v>
                </c:pt>
                <c:pt idx="59">
                  <c:v>4.8949999999999996</c:v>
                </c:pt>
                <c:pt idx="60">
                  <c:v>3.895</c:v>
                </c:pt>
                <c:pt idx="61">
                  <c:v>3.895</c:v>
                </c:pt>
                <c:pt idx="62">
                  <c:v>3.895</c:v>
                </c:pt>
                <c:pt idx="63">
                  <c:v>4.0350000000000001</c:v>
                </c:pt>
                <c:pt idx="64">
                  <c:v>3.93</c:v>
                </c:pt>
                <c:pt idx="65">
                  <c:v>4.8949999999999996</c:v>
                </c:pt>
                <c:pt idx="66">
                  <c:v>4.8949999999999996</c:v>
                </c:pt>
                <c:pt idx="67">
                  <c:v>4.0350000000000001</c:v>
                </c:pt>
                <c:pt idx="68">
                  <c:v>3.895</c:v>
                </c:pt>
                <c:pt idx="69">
                  <c:v>4.8949999999999996</c:v>
                </c:pt>
                <c:pt idx="70">
                  <c:v>4.8949999999999996</c:v>
                </c:pt>
                <c:pt idx="71">
                  <c:v>4.93</c:v>
                </c:pt>
                <c:pt idx="72">
                  <c:v>3.895</c:v>
                </c:pt>
                <c:pt idx="73">
                  <c:v>3.93</c:v>
                </c:pt>
              </c:numCache>
            </c:numRef>
          </c:xVal>
          <c:yVal>
            <c:numRef>
              <c:f>Расчёты_графиков!$P$12:$P$85</c:f>
              <c:numCache>
                <c:formatCode>General</c:formatCode>
                <c:ptCount val="74"/>
                <c:pt idx="0">
                  <c:v>13</c:v>
                </c:pt>
                <c:pt idx="1">
                  <c:v>8</c:v>
                </c:pt>
                <c:pt idx="2">
                  <c:v>18</c:v>
                </c:pt>
                <c:pt idx="3">
                  <c:v>12</c:v>
                </c:pt>
                <c:pt idx="4">
                  <c:v>11</c:v>
                </c:pt>
                <c:pt idx="5">
                  <c:v>16</c:v>
                </c:pt>
                <c:pt idx="6">
                  <c:v>20</c:v>
                </c:pt>
                <c:pt idx="7">
                  <c:v>17</c:v>
                </c:pt>
                <c:pt idx="8">
                  <c:v>21</c:v>
                </c:pt>
                <c:pt idx="9">
                  <c:v>28</c:v>
                </c:pt>
                <c:pt idx="10">
                  <c:v>19</c:v>
                </c:pt>
                <c:pt idx="11">
                  <c:v>14</c:v>
                </c:pt>
                <c:pt idx="12">
                  <c:v>13</c:v>
                </c:pt>
                <c:pt idx="13">
                  <c:v>16</c:v>
                </c:pt>
                <c:pt idx="14">
                  <c:v>23</c:v>
                </c:pt>
                <c:pt idx="15">
                  <c:v>19</c:v>
                </c:pt>
                <c:pt idx="16">
                  <c:v>27</c:v>
                </c:pt>
                <c:pt idx="17">
                  <c:v>18</c:v>
                </c:pt>
                <c:pt idx="18">
                  <c:v>25</c:v>
                </c:pt>
                <c:pt idx="19">
                  <c:v>19</c:v>
                </c:pt>
                <c:pt idx="20">
                  <c:v>9</c:v>
                </c:pt>
                <c:pt idx="21">
                  <c:v>8</c:v>
                </c:pt>
                <c:pt idx="22">
                  <c:v>15</c:v>
                </c:pt>
                <c:pt idx="23">
                  <c:v>12</c:v>
                </c:pt>
                <c:pt idx="24">
                  <c:v>18</c:v>
                </c:pt>
                <c:pt idx="25">
                  <c:v>16</c:v>
                </c:pt>
                <c:pt idx="26">
                  <c:v>14</c:v>
                </c:pt>
                <c:pt idx="27">
                  <c:v>14</c:v>
                </c:pt>
                <c:pt idx="28">
                  <c:v>5</c:v>
                </c:pt>
                <c:pt idx="29">
                  <c:v>15</c:v>
                </c:pt>
                <c:pt idx="30">
                  <c:v>14</c:v>
                </c:pt>
                <c:pt idx="31">
                  <c:v>28</c:v>
                </c:pt>
                <c:pt idx="32">
                  <c:v>17</c:v>
                </c:pt>
                <c:pt idx="33">
                  <c:v>8</c:v>
                </c:pt>
                <c:pt idx="34">
                  <c:v>14</c:v>
                </c:pt>
                <c:pt idx="35">
                  <c:v>13</c:v>
                </c:pt>
                <c:pt idx="36">
                  <c:v>20</c:v>
                </c:pt>
                <c:pt idx="37">
                  <c:v>18</c:v>
                </c:pt>
                <c:pt idx="38">
                  <c:v>16</c:v>
                </c:pt>
                <c:pt idx="39">
                  <c:v>11</c:v>
                </c:pt>
                <c:pt idx="40">
                  <c:v>16</c:v>
                </c:pt>
                <c:pt idx="41">
                  <c:v>14</c:v>
                </c:pt>
                <c:pt idx="42">
                  <c:v>7</c:v>
                </c:pt>
                <c:pt idx="43">
                  <c:v>14</c:v>
                </c:pt>
                <c:pt idx="44">
                  <c:v>15</c:v>
                </c:pt>
                <c:pt idx="45">
                  <c:v>14</c:v>
                </c:pt>
                <c:pt idx="46">
                  <c:v>14</c:v>
                </c:pt>
                <c:pt idx="47">
                  <c:v>7</c:v>
                </c:pt>
                <c:pt idx="48">
                  <c:v>14</c:v>
                </c:pt>
                <c:pt idx="49">
                  <c:v>10</c:v>
                </c:pt>
                <c:pt idx="50">
                  <c:v>13</c:v>
                </c:pt>
                <c:pt idx="51">
                  <c:v>21</c:v>
                </c:pt>
                <c:pt idx="52">
                  <c:v>18</c:v>
                </c:pt>
                <c:pt idx="53">
                  <c:v>19</c:v>
                </c:pt>
                <c:pt idx="54">
                  <c:v>20</c:v>
                </c:pt>
                <c:pt idx="55">
                  <c:v>7</c:v>
                </c:pt>
                <c:pt idx="56">
                  <c:v>15</c:v>
                </c:pt>
                <c:pt idx="57">
                  <c:v>14</c:v>
                </c:pt>
                <c:pt idx="58">
                  <c:v>15</c:v>
                </c:pt>
                <c:pt idx="59">
                  <c:v>28</c:v>
                </c:pt>
                <c:pt idx="60">
                  <c:v>10</c:v>
                </c:pt>
                <c:pt idx="61">
                  <c:v>13</c:v>
                </c:pt>
                <c:pt idx="62">
                  <c:v>4</c:v>
                </c:pt>
                <c:pt idx="63">
                  <c:v>15</c:v>
                </c:pt>
                <c:pt idx="64">
                  <c:v>4</c:v>
                </c:pt>
                <c:pt idx="65">
                  <c:v>7</c:v>
                </c:pt>
                <c:pt idx="66">
                  <c:v>11</c:v>
                </c:pt>
                <c:pt idx="67">
                  <c:v>14</c:v>
                </c:pt>
                <c:pt idx="68">
                  <c:v>8</c:v>
                </c:pt>
                <c:pt idx="69">
                  <c:v>13</c:v>
                </c:pt>
                <c:pt idx="70">
                  <c:v>14</c:v>
                </c:pt>
                <c:pt idx="71">
                  <c:v>11</c:v>
                </c:pt>
                <c:pt idx="72">
                  <c:v>12</c:v>
                </c:pt>
                <c:pt idx="73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7CD-408E-B12D-2BF5EE72875B}"/>
            </c:ext>
          </c:extLst>
        </c:ser>
        <c:ser>
          <c:idx val="3"/>
          <c:order val="3"/>
          <c:tx>
            <c:v>Среднее по группе</c:v>
          </c:tx>
          <c:spPr>
            <a:ln w="31750">
              <a:solidFill>
                <a:srgbClr val="D83E50"/>
              </a:solidFill>
              <a:prstDash val="solid"/>
            </a:ln>
          </c:spPr>
          <c:marker>
            <c:symbol val="diamond"/>
            <c:size val="9"/>
            <c:spPr>
              <a:solidFill>
                <a:srgbClr val="D83E50"/>
              </a:solidFill>
              <a:ln>
                <a:noFill/>
                <a:prstDash val="solid"/>
              </a:ln>
            </c:spPr>
          </c:marker>
          <c:xVal>
            <c:numRef>
              <c:f>Расчёты_графиков!$E$90:$I$90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Расчёты_графиков!$E$92:$I$92</c:f>
              <c:numCache>
                <c:formatCode>0.00</c:formatCode>
                <c:ptCount val="5"/>
                <c:pt idx="0">
                  <c:v>16.428571428571427</c:v>
                </c:pt>
                <c:pt idx="1">
                  <c:v>18.583333333333332</c:v>
                </c:pt>
                <c:pt idx="2">
                  <c:v>13.6</c:v>
                </c:pt>
                <c:pt idx="3">
                  <c:v>13.375</c:v>
                </c:pt>
                <c:pt idx="4">
                  <c:v>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7CD-408E-B12D-2BF5EE7287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ax val="6"/>
          <c:min val="0"/>
        </c:scaling>
        <c:delete val="0"/>
        <c:axPos val="b"/>
        <c:title>
          <c:tx>
            <c:strRef>
              <c:f>Спирман_графики!$D$8</c:f>
              <c:strCache>
                <c:ptCount val="1"/>
                <c:pt idx="0">
                  <c:v>Л1</c:v>
                </c:pt>
              </c:strCache>
            </c:strRef>
          </c:tx>
          <c:overlay val="0"/>
          <c:txPr>
            <a:bodyPr/>
            <a:lstStyle/>
            <a:p>
              <a:pPr>
                <a:defRPr sz="1100" b="1">
                  <a:solidFill>
                    <a:srgbClr val="263746"/>
                  </a:solidFill>
                  <a:latin typeface="Arial"/>
                </a:defRPr>
              </a:pPr>
              <a:endParaRPr lang="ru-RU"/>
            </a:p>
          </c:txPr>
        </c:title>
        <c:numFmt formatCode="[&lt;1]&quot;&quot;;[&gt;5]&quot;&quot;;0" sourceLinked="0"/>
        <c:majorTickMark val="out"/>
        <c:minorTickMark val="none"/>
        <c:tickLblPos val="low"/>
        <c:spPr>
          <a:ln w="9525">
            <a:solidFill>
              <a:srgbClr val="263746"/>
            </a:solidFill>
            <a:prstDash val="solid"/>
          </a:ln>
        </c:spPr>
        <c:txPr>
          <a:bodyPr/>
          <a:lstStyle/>
          <a:p>
            <a:pPr>
              <a:defRPr sz="1000" b="0">
                <a:solidFill>
                  <a:srgbClr val="263746"/>
                </a:solidFill>
                <a:latin typeface="Arial"/>
              </a:defRPr>
            </a:pPr>
            <a:endParaRPr lang="ru-RU"/>
          </a:p>
        </c:txPr>
        <c:crossAx val="20"/>
        <c:crosses val="autoZero"/>
        <c:crossBetween val="midCat"/>
        <c:majorUnit val="1"/>
      </c:valAx>
      <c:valAx>
        <c:axId val="20"/>
        <c:scaling>
          <c:orientation val="minMax"/>
          <c:max val="30"/>
          <c:min val="0"/>
        </c:scaling>
        <c:delete val="0"/>
        <c:axPos val="l"/>
        <c:majorGridlines>
          <c:spPr>
            <a:ln w="6350">
              <a:solidFill>
                <a:srgbClr val="E4E9EC"/>
              </a:solidFill>
              <a:prstDash val="solid"/>
            </a:ln>
          </c:spPr>
        </c:majorGridlines>
        <c:title>
          <c:tx>
            <c:strRef>
              <c:f>Спирман_графики!$J$8</c:f>
              <c:strCache>
                <c:ptCount val="1"/>
                <c:pt idx="0">
                  <c:v>К1</c:v>
                </c:pt>
              </c:strCache>
            </c:strRef>
          </c:tx>
          <c:overlay val="0"/>
          <c:txPr>
            <a:bodyPr/>
            <a:lstStyle/>
            <a:p>
              <a:pPr>
                <a:defRPr sz="1100" b="1">
                  <a:solidFill>
                    <a:srgbClr val="263746"/>
                  </a:solidFill>
                  <a:latin typeface="Arial"/>
                </a:defRPr>
              </a:pPr>
              <a:endParaRPr lang="ru-RU"/>
            </a:p>
          </c:txPr>
        </c:title>
        <c:numFmt formatCode="0" sourceLinked="0"/>
        <c:majorTickMark val="out"/>
        <c:minorTickMark val="none"/>
        <c:tickLblPos val="low"/>
        <c:spPr>
          <a:ln w="9525">
            <a:solidFill>
              <a:srgbClr val="263746"/>
            </a:solidFill>
            <a:prstDash val="solid"/>
          </a:ln>
        </c:spPr>
        <c:txPr>
          <a:bodyPr/>
          <a:lstStyle/>
          <a:p>
            <a:pPr>
              <a:defRPr sz="1000" b="0">
                <a:solidFill>
                  <a:srgbClr val="263746"/>
                </a:solidFill>
                <a:latin typeface="Arial"/>
              </a:defRPr>
            </a:pPr>
            <a:endParaRPr lang="ru-RU"/>
          </a:p>
        </c:txPr>
        <c:crossAx val="10"/>
        <c:crosses val="autoZero"/>
        <c:crossBetween val="midCat"/>
        <c:majorUnit val="5"/>
      </c:valAx>
      <c:spPr>
        <a:solidFill>
          <a:srgbClr val="FFFFFF"/>
        </a:solidFill>
        <a:ln>
          <a:prstDash val="solid"/>
        </a:ln>
      </c:spPr>
    </c:plotArea>
    <c:legend>
      <c:legendPos val="b"/>
      <c:overlay val="0"/>
      <c:txPr>
        <a:bodyPr/>
        <a:lstStyle/>
        <a:p>
          <a:pPr>
            <a:defRPr sz="950" b="0">
              <a:solidFill>
                <a:srgbClr val="263746"/>
              </a:solidFill>
              <a:latin typeface="Arial"/>
            </a:defRPr>
          </a:pPr>
          <a:endParaRPr lang="ru-RU"/>
        </a:p>
      </c:txPr>
    </c:legend>
    <c:plotVisOnly val="1"/>
    <c:dispBlanksAs val="gap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strRef>
          <c:f>Расчёты_графиков!$B$335</c:f>
          <c:strCache>
            <c:ptCount val="1"/>
            <c:pt idx="0">
              <c:v>К2 в зависимости от Л1
ρ = 0,183; p = 0,1195; n = 74</c:v>
            </c:pt>
          </c:strCache>
        </c:strRef>
      </c:tx>
      <c:overlay val="0"/>
      <c:txPr>
        <a:bodyPr/>
        <a:lstStyle/>
        <a:p>
          <a:pPr>
            <a:defRPr sz="1200" b="0">
              <a:solidFill>
                <a:srgbClr val="263746"/>
              </a:solidFill>
              <a:latin typeface="Arial"/>
            </a:defRPr>
          </a:pPr>
          <a:endParaRPr lang="ru-RU"/>
        </a:p>
      </c:txPr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Межквартильный размах и усы</c:v>
          </c:tx>
          <c:spPr>
            <a:ln w="22860">
              <a:solidFill>
                <a:srgbClr val="326A8D"/>
              </a:solidFill>
              <a:prstDash val="solid"/>
            </a:ln>
          </c:spPr>
          <c:marker>
            <c:symbol val="none"/>
          </c:marker>
          <c:xVal>
            <c:numRef>
              <c:f>Расчёты_графиков!$A$340:$A$433</c:f>
              <c:numCache>
                <c:formatCode>General</c:formatCode>
                <c:ptCount val="94"/>
                <c:pt idx="0">
                  <c:v>0.75</c:v>
                </c:pt>
                <c:pt idx="1">
                  <c:v>1.25</c:v>
                </c:pt>
                <c:pt idx="2">
                  <c:v>1.25</c:v>
                </c:pt>
                <c:pt idx="3">
                  <c:v>0.75</c:v>
                </c:pt>
                <c:pt idx="4">
                  <c:v>0.75</c:v>
                </c:pt>
                <c:pt idx="6">
                  <c:v>0.75</c:v>
                </c:pt>
                <c:pt idx="7">
                  <c:v>1.25</c:v>
                </c:pt>
                <c:pt idx="9">
                  <c:v>0.87</c:v>
                </c:pt>
                <c:pt idx="10">
                  <c:v>1.1299999999999999</c:v>
                </c:pt>
                <c:pt idx="11">
                  <c:v>1</c:v>
                </c:pt>
                <c:pt idx="12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0.87</c:v>
                </c:pt>
                <c:pt idx="17">
                  <c:v>1.1299999999999999</c:v>
                </c:pt>
                <c:pt idx="19">
                  <c:v>1.75</c:v>
                </c:pt>
                <c:pt idx="20">
                  <c:v>2.25</c:v>
                </c:pt>
                <c:pt idx="21">
                  <c:v>2.25</c:v>
                </c:pt>
                <c:pt idx="22">
                  <c:v>1.75</c:v>
                </c:pt>
                <c:pt idx="23">
                  <c:v>1.75</c:v>
                </c:pt>
                <c:pt idx="25">
                  <c:v>1.75</c:v>
                </c:pt>
                <c:pt idx="26">
                  <c:v>2.25</c:v>
                </c:pt>
                <c:pt idx="28">
                  <c:v>1.87</c:v>
                </c:pt>
                <c:pt idx="29">
                  <c:v>2.13</c:v>
                </c:pt>
                <c:pt idx="30">
                  <c:v>2</c:v>
                </c:pt>
                <c:pt idx="31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1.87</c:v>
                </c:pt>
                <c:pt idx="36">
                  <c:v>2.13</c:v>
                </c:pt>
                <c:pt idx="38">
                  <c:v>2.75</c:v>
                </c:pt>
                <c:pt idx="39">
                  <c:v>3.25</c:v>
                </c:pt>
                <c:pt idx="40">
                  <c:v>3.25</c:v>
                </c:pt>
                <c:pt idx="41">
                  <c:v>2.75</c:v>
                </c:pt>
                <c:pt idx="42">
                  <c:v>2.75</c:v>
                </c:pt>
                <c:pt idx="44">
                  <c:v>2.75</c:v>
                </c:pt>
                <c:pt idx="45">
                  <c:v>3.25</c:v>
                </c:pt>
                <c:pt idx="47">
                  <c:v>2.87</c:v>
                </c:pt>
                <c:pt idx="48">
                  <c:v>3.13</c:v>
                </c:pt>
                <c:pt idx="49">
                  <c:v>3</c:v>
                </c:pt>
                <c:pt idx="50">
                  <c:v>3</c:v>
                </c:pt>
                <c:pt idx="52">
                  <c:v>3</c:v>
                </c:pt>
                <c:pt idx="53">
                  <c:v>3</c:v>
                </c:pt>
                <c:pt idx="54">
                  <c:v>2.87</c:v>
                </c:pt>
                <c:pt idx="55">
                  <c:v>3.13</c:v>
                </c:pt>
                <c:pt idx="57">
                  <c:v>3.75</c:v>
                </c:pt>
                <c:pt idx="58">
                  <c:v>4.25</c:v>
                </c:pt>
                <c:pt idx="59">
                  <c:v>4.25</c:v>
                </c:pt>
                <c:pt idx="60">
                  <c:v>3.75</c:v>
                </c:pt>
                <c:pt idx="61">
                  <c:v>3.75</c:v>
                </c:pt>
                <c:pt idx="63">
                  <c:v>3.75</c:v>
                </c:pt>
                <c:pt idx="64">
                  <c:v>4.25</c:v>
                </c:pt>
                <c:pt idx="66">
                  <c:v>3.87</c:v>
                </c:pt>
                <c:pt idx="67">
                  <c:v>4.13</c:v>
                </c:pt>
                <c:pt idx="68">
                  <c:v>4</c:v>
                </c:pt>
                <c:pt idx="69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3.87</c:v>
                </c:pt>
                <c:pt idx="74">
                  <c:v>4.13</c:v>
                </c:pt>
                <c:pt idx="76">
                  <c:v>4.75</c:v>
                </c:pt>
                <c:pt idx="77">
                  <c:v>5.25</c:v>
                </c:pt>
                <c:pt idx="78">
                  <c:v>5.25</c:v>
                </c:pt>
                <c:pt idx="79">
                  <c:v>4.75</c:v>
                </c:pt>
                <c:pt idx="80">
                  <c:v>4.75</c:v>
                </c:pt>
                <c:pt idx="82">
                  <c:v>4.75</c:v>
                </c:pt>
                <c:pt idx="83">
                  <c:v>5.25</c:v>
                </c:pt>
                <c:pt idx="85">
                  <c:v>4.87</c:v>
                </c:pt>
                <c:pt idx="86">
                  <c:v>5.13</c:v>
                </c:pt>
                <c:pt idx="87">
                  <c:v>5</c:v>
                </c:pt>
                <c:pt idx="88">
                  <c:v>5</c:v>
                </c:pt>
                <c:pt idx="90">
                  <c:v>5</c:v>
                </c:pt>
                <c:pt idx="91">
                  <c:v>5</c:v>
                </c:pt>
                <c:pt idx="92">
                  <c:v>4.87</c:v>
                </c:pt>
                <c:pt idx="93">
                  <c:v>5.13</c:v>
                </c:pt>
              </c:numCache>
            </c:numRef>
          </c:xVal>
          <c:yVal>
            <c:numRef>
              <c:f>Расчёты_графиков!$B$340:$B$433</c:f>
              <c:numCache>
                <c:formatCode>General</c:formatCode>
                <c:ptCount val="94"/>
                <c:pt idx="0">
                  <c:v>27</c:v>
                </c:pt>
                <c:pt idx="1">
                  <c:v>27</c:v>
                </c:pt>
                <c:pt idx="2">
                  <c:v>30.5</c:v>
                </c:pt>
                <c:pt idx="3">
                  <c:v>30.5</c:v>
                </c:pt>
                <c:pt idx="4">
                  <c:v>27</c:v>
                </c:pt>
                <c:pt idx="6">
                  <c:v>30</c:v>
                </c:pt>
                <c:pt idx="7">
                  <c:v>30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27</c:v>
                </c:pt>
                <c:pt idx="14">
                  <c:v>30.5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9">
                  <c:v>23</c:v>
                </c:pt>
                <c:pt idx="20">
                  <c:v>23</c:v>
                </c:pt>
                <c:pt idx="21">
                  <c:v>26.5</c:v>
                </c:pt>
                <c:pt idx="22">
                  <c:v>26.5</c:v>
                </c:pt>
                <c:pt idx="23">
                  <c:v>23</c:v>
                </c:pt>
                <c:pt idx="25">
                  <c:v>24</c:v>
                </c:pt>
                <c:pt idx="26">
                  <c:v>24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23</c:v>
                </c:pt>
                <c:pt idx="33">
                  <c:v>26.5</c:v>
                </c:pt>
                <c:pt idx="34">
                  <c:v>31</c:v>
                </c:pt>
                <c:pt idx="35">
                  <c:v>31</c:v>
                </c:pt>
                <c:pt idx="36">
                  <c:v>31</c:v>
                </c:pt>
                <c:pt idx="38">
                  <c:v>26</c:v>
                </c:pt>
                <c:pt idx="39">
                  <c:v>26</c:v>
                </c:pt>
                <c:pt idx="40">
                  <c:v>29</c:v>
                </c:pt>
                <c:pt idx="41">
                  <c:v>29</c:v>
                </c:pt>
                <c:pt idx="42">
                  <c:v>26</c:v>
                </c:pt>
                <c:pt idx="44">
                  <c:v>27</c:v>
                </c:pt>
                <c:pt idx="45">
                  <c:v>27</c:v>
                </c:pt>
                <c:pt idx="47">
                  <c:v>24</c:v>
                </c:pt>
                <c:pt idx="48">
                  <c:v>24</c:v>
                </c:pt>
                <c:pt idx="49">
                  <c:v>24</c:v>
                </c:pt>
                <c:pt idx="50">
                  <c:v>26</c:v>
                </c:pt>
                <c:pt idx="52">
                  <c:v>29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7">
                  <c:v>26</c:v>
                </c:pt>
                <c:pt idx="58">
                  <c:v>26</c:v>
                </c:pt>
                <c:pt idx="59">
                  <c:v>32</c:v>
                </c:pt>
                <c:pt idx="60">
                  <c:v>32</c:v>
                </c:pt>
                <c:pt idx="61">
                  <c:v>26</c:v>
                </c:pt>
                <c:pt idx="63">
                  <c:v>28</c:v>
                </c:pt>
                <c:pt idx="64">
                  <c:v>28</c:v>
                </c:pt>
                <c:pt idx="66">
                  <c:v>24</c:v>
                </c:pt>
                <c:pt idx="67">
                  <c:v>24</c:v>
                </c:pt>
                <c:pt idx="68">
                  <c:v>24</c:v>
                </c:pt>
                <c:pt idx="69">
                  <c:v>26</c:v>
                </c:pt>
                <c:pt idx="71">
                  <c:v>32</c:v>
                </c:pt>
                <c:pt idx="72">
                  <c:v>39</c:v>
                </c:pt>
                <c:pt idx="73">
                  <c:v>39</c:v>
                </c:pt>
                <c:pt idx="74">
                  <c:v>39</c:v>
                </c:pt>
                <c:pt idx="76">
                  <c:v>24.75</c:v>
                </c:pt>
                <c:pt idx="77">
                  <c:v>24.75</c:v>
                </c:pt>
                <c:pt idx="78">
                  <c:v>29.75</c:v>
                </c:pt>
                <c:pt idx="79">
                  <c:v>29.75</c:v>
                </c:pt>
                <c:pt idx="80">
                  <c:v>24.75</c:v>
                </c:pt>
                <c:pt idx="82">
                  <c:v>28</c:v>
                </c:pt>
                <c:pt idx="83">
                  <c:v>28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24.75</c:v>
                </c:pt>
                <c:pt idx="90">
                  <c:v>29.75</c:v>
                </c:pt>
                <c:pt idx="91">
                  <c:v>30</c:v>
                </c:pt>
                <c:pt idx="92">
                  <c:v>30</c:v>
                </c:pt>
                <c:pt idx="93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8C9-4402-86B2-A700EF8352C0}"/>
            </c:ext>
          </c:extLst>
        </c:ser>
        <c:ser>
          <c:idx val="1"/>
          <c:order val="1"/>
          <c:tx>
            <c:v>Медиана</c:v>
          </c:tx>
          <c:spPr>
            <a:ln w="31750">
              <a:solidFill>
                <a:srgbClr val="203D66"/>
              </a:solidFill>
              <a:prstDash val="solid"/>
            </a:ln>
          </c:spPr>
          <c:marker>
            <c:symbol val="none"/>
          </c:marker>
          <c:xVal>
            <c:numRef>
              <c:f>Расчёты_графиков!$U$340:$U$353</c:f>
              <c:numCache>
                <c:formatCode>General</c:formatCode>
                <c:ptCount val="14"/>
                <c:pt idx="0">
                  <c:v>0.75</c:v>
                </c:pt>
                <c:pt idx="1">
                  <c:v>1.25</c:v>
                </c:pt>
                <c:pt idx="3">
                  <c:v>1.75</c:v>
                </c:pt>
                <c:pt idx="4">
                  <c:v>2.25</c:v>
                </c:pt>
                <c:pt idx="6">
                  <c:v>2.75</c:v>
                </c:pt>
                <c:pt idx="7">
                  <c:v>3.25</c:v>
                </c:pt>
                <c:pt idx="9">
                  <c:v>3.75</c:v>
                </c:pt>
                <c:pt idx="10">
                  <c:v>4.25</c:v>
                </c:pt>
                <c:pt idx="12">
                  <c:v>4.75</c:v>
                </c:pt>
                <c:pt idx="13">
                  <c:v>5.25</c:v>
                </c:pt>
              </c:numCache>
            </c:numRef>
          </c:xVal>
          <c:yVal>
            <c:numRef>
              <c:f>Расчёты_графиков!$V$340:$V$353</c:f>
              <c:numCache>
                <c:formatCode>General</c:formatCode>
                <c:ptCount val="14"/>
                <c:pt idx="0">
                  <c:v>30</c:v>
                </c:pt>
                <c:pt idx="1">
                  <c:v>30</c:v>
                </c:pt>
                <c:pt idx="3">
                  <c:v>24</c:v>
                </c:pt>
                <c:pt idx="4">
                  <c:v>24</c:v>
                </c:pt>
                <c:pt idx="6">
                  <c:v>27</c:v>
                </c:pt>
                <c:pt idx="7">
                  <c:v>27</c:v>
                </c:pt>
                <c:pt idx="9">
                  <c:v>28</c:v>
                </c:pt>
                <c:pt idx="10">
                  <c:v>28</c:v>
                </c:pt>
                <c:pt idx="12">
                  <c:v>28</c:v>
                </c:pt>
                <c:pt idx="13">
                  <c:v>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8C9-4402-86B2-A700EF8352C0}"/>
            </c:ext>
          </c:extLst>
        </c:ser>
        <c:ser>
          <c:idx val="2"/>
          <c:order val="2"/>
          <c:tx>
            <c:v>Наблюдения</c:v>
          </c:tx>
          <c:spPr>
            <a:ln>
              <a:noFill/>
              <a:prstDash val="solid"/>
            </a:ln>
          </c:spPr>
          <c:marker>
            <c:symbol val="circle"/>
            <c:size val="5"/>
            <c:spPr>
              <a:solidFill>
                <a:srgbClr val="83969E"/>
              </a:solidFill>
              <a:ln>
                <a:noFill/>
                <a:prstDash val="solid"/>
              </a:ln>
            </c:spPr>
          </c:marker>
          <c:xVal>
            <c:numRef>
              <c:f>Расчёты_графиков!$O$242:$O$315</c:f>
              <c:numCache>
                <c:formatCode>General</c:formatCode>
                <c:ptCount val="74"/>
                <c:pt idx="0">
                  <c:v>0.89500000000000002</c:v>
                </c:pt>
                <c:pt idx="1">
                  <c:v>1.895</c:v>
                </c:pt>
                <c:pt idx="2">
                  <c:v>1.895</c:v>
                </c:pt>
                <c:pt idx="3">
                  <c:v>1.895</c:v>
                </c:pt>
                <c:pt idx="4">
                  <c:v>0.89500000000000002</c:v>
                </c:pt>
                <c:pt idx="5">
                  <c:v>0.89500000000000002</c:v>
                </c:pt>
                <c:pt idx="6">
                  <c:v>0.89500000000000002</c:v>
                </c:pt>
                <c:pt idx="7">
                  <c:v>1.895</c:v>
                </c:pt>
                <c:pt idx="8">
                  <c:v>1.93</c:v>
                </c:pt>
                <c:pt idx="9">
                  <c:v>0.89500000000000002</c:v>
                </c:pt>
                <c:pt idx="10">
                  <c:v>1.895</c:v>
                </c:pt>
                <c:pt idx="11">
                  <c:v>0.89500000000000002</c:v>
                </c:pt>
                <c:pt idx="12">
                  <c:v>0.92999999999999994</c:v>
                </c:pt>
                <c:pt idx="13">
                  <c:v>1.895</c:v>
                </c:pt>
                <c:pt idx="14">
                  <c:v>1.93</c:v>
                </c:pt>
                <c:pt idx="15">
                  <c:v>1.9650000000000001</c:v>
                </c:pt>
                <c:pt idx="16">
                  <c:v>1.93</c:v>
                </c:pt>
                <c:pt idx="17">
                  <c:v>1.93</c:v>
                </c:pt>
                <c:pt idx="18">
                  <c:v>1.895</c:v>
                </c:pt>
                <c:pt idx="19">
                  <c:v>3.895</c:v>
                </c:pt>
                <c:pt idx="20">
                  <c:v>2.895</c:v>
                </c:pt>
                <c:pt idx="21">
                  <c:v>2.895</c:v>
                </c:pt>
                <c:pt idx="22">
                  <c:v>2.895</c:v>
                </c:pt>
                <c:pt idx="23">
                  <c:v>2.895</c:v>
                </c:pt>
                <c:pt idx="24">
                  <c:v>2.895</c:v>
                </c:pt>
                <c:pt idx="25">
                  <c:v>2.895</c:v>
                </c:pt>
                <c:pt idx="26">
                  <c:v>2.895</c:v>
                </c:pt>
                <c:pt idx="27">
                  <c:v>2.93</c:v>
                </c:pt>
                <c:pt idx="28">
                  <c:v>2.93</c:v>
                </c:pt>
                <c:pt idx="29">
                  <c:v>3.895</c:v>
                </c:pt>
                <c:pt idx="30">
                  <c:v>2.9649999999999999</c:v>
                </c:pt>
                <c:pt idx="31">
                  <c:v>2.9649999999999999</c:v>
                </c:pt>
                <c:pt idx="32">
                  <c:v>2.895</c:v>
                </c:pt>
                <c:pt idx="33">
                  <c:v>3</c:v>
                </c:pt>
                <c:pt idx="34">
                  <c:v>3.895</c:v>
                </c:pt>
                <c:pt idx="35">
                  <c:v>2.895</c:v>
                </c:pt>
                <c:pt idx="36">
                  <c:v>2.93</c:v>
                </c:pt>
                <c:pt idx="37">
                  <c:v>3.93</c:v>
                </c:pt>
                <c:pt idx="38">
                  <c:v>3</c:v>
                </c:pt>
                <c:pt idx="39">
                  <c:v>3.895</c:v>
                </c:pt>
                <c:pt idx="40">
                  <c:v>2.9649999999999999</c:v>
                </c:pt>
                <c:pt idx="41">
                  <c:v>3.895</c:v>
                </c:pt>
                <c:pt idx="42">
                  <c:v>2.93</c:v>
                </c:pt>
                <c:pt idx="43">
                  <c:v>2.93</c:v>
                </c:pt>
                <c:pt idx="44">
                  <c:v>3.895</c:v>
                </c:pt>
                <c:pt idx="45">
                  <c:v>2.93</c:v>
                </c:pt>
                <c:pt idx="46">
                  <c:v>3.93</c:v>
                </c:pt>
                <c:pt idx="47">
                  <c:v>2.93</c:v>
                </c:pt>
                <c:pt idx="48">
                  <c:v>3.0350000000000001</c:v>
                </c:pt>
                <c:pt idx="49">
                  <c:v>3.0350000000000001</c:v>
                </c:pt>
                <c:pt idx="50">
                  <c:v>3.07</c:v>
                </c:pt>
                <c:pt idx="51">
                  <c:v>3.9649999999999999</c:v>
                </c:pt>
                <c:pt idx="52">
                  <c:v>3</c:v>
                </c:pt>
                <c:pt idx="53">
                  <c:v>3.895</c:v>
                </c:pt>
                <c:pt idx="54">
                  <c:v>3.93</c:v>
                </c:pt>
                <c:pt idx="55">
                  <c:v>3.9649999999999999</c:v>
                </c:pt>
                <c:pt idx="56">
                  <c:v>3.93</c:v>
                </c:pt>
                <c:pt idx="57">
                  <c:v>3.895</c:v>
                </c:pt>
                <c:pt idx="58">
                  <c:v>3.895</c:v>
                </c:pt>
                <c:pt idx="59">
                  <c:v>4.8949999999999996</c:v>
                </c:pt>
                <c:pt idx="60">
                  <c:v>3.895</c:v>
                </c:pt>
                <c:pt idx="61">
                  <c:v>3.895</c:v>
                </c:pt>
                <c:pt idx="62">
                  <c:v>3.93</c:v>
                </c:pt>
                <c:pt idx="63">
                  <c:v>3.9649999999999999</c:v>
                </c:pt>
                <c:pt idx="64">
                  <c:v>3.93</c:v>
                </c:pt>
                <c:pt idx="65">
                  <c:v>4.93</c:v>
                </c:pt>
                <c:pt idx="66">
                  <c:v>4.8949999999999996</c:v>
                </c:pt>
                <c:pt idx="67">
                  <c:v>4</c:v>
                </c:pt>
                <c:pt idx="68">
                  <c:v>3.93</c:v>
                </c:pt>
                <c:pt idx="69">
                  <c:v>4.8949999999999996</c:v>
                </c:pt>
                <c:pt idx="70">
                  <c:v>4.93</c:v>
                </c:pt>
                <c:pt idx="71">
                  <c:v>4.8949999999999996</c:v>
                </c:pt>
                <c:pt idx="72">
                  <c:v>3.9649999999999999</c:v>
                </c:pt>
                <c:pt idx="73">
                  <c:v>4.0350000000000001</c:v>
                </c:pt>
              </c:numCache>
            </c:numRef>
          </c:xVal>
          <c:yVal>
            <c:numRef>
              <c:f>Расчёты_графиков!$P$242:$P$315</c:f>
              <c:numCache>
                <c:formatCode>General</c:formatCode>
                <c:ptCount val="74"/>
                <c:pt idx="0">
                  <c:v>31</c:v>
                </c:pt>
                <c:pt idx="1">
                  <c:v>31</c:v>
                </c:pt>
                <c:pt idx="2">
                  <c:v>23</c:v>
                </c:pt>
                <c:pt idx="3">
                  <c:v>25</c:v>
                </c:pt>
                <c:pt idx="4">
                  <c:v>30</c:v>
                </c:pt>
                <c:pt idx="5">
                  <c:v>28</c:v>
                </c:pt>
                <c:pt idx="6">
                  <c:v>35</c:v>
                </c:pt>
                <c:pt idx="7">
                  <c:v>33</c:v>
                </c:pt>
                <c:pt idx="8">
                  <c:v>25</c:v>
                </c:pt>
                <c:pt idx="9">
                  <c:v>24</c:v>
                </c:pt>
                <c:pt idx="10">
                  <c:v>20</c:v>
                </c:pt>
                <c:pt idx="11">
                  <c:v>26</c:v>
                </c:pt>
                <c:pt idx="12">
                  <c:v>30</c:v>
                </c:pt>
                <c:pt idx="13">
                  <c:v>24</c:v>
                </c:pt>
                <c:pt idx="14">
                  <c:v>23</c:v>
                </c:pt>
                <c:pt idx="15">
                  <c:v>23</c:v>
                </c:pt>
                <c:pt idx="16">
                  <c:v>31</c:v>
                </c:pt>
                <c:pt idx="17">
                  <c:v>24</c:v>
                </c:pt>
                <c:pt idx="18">
                  <c:v>22</c:v>
                </c:pt>
                <c:pt idx="19">
                  <c:v>25</c:v>
                </c:pt>
                <c:pt idx="20">
                  <c:v>35</c:v>
                </c:pt>
                <c:pt idx="21">
                  <c:v>25</c:v>
                </c:pt>
                <c:pt idx="22">
                  <c:v>26</c:v>
                </c:pt>
                <c:pt idx="23">
                  <c:v>24</c:v>
                </c:pt>
                <c:pt idx="24">
                  <c:v>27</c:v>
                </c:pt>
                <c:pt idx="25">
                  <c:v>28</c:v>
                </c:pt>
                <c:pt idx="26">
                  <c:v>29</c:v>
                </c:pt>
                <c:pt idx="27">
                  <c:v>26</c:v>
                </c:pt>
                <c:pt idx="28">
                  <c:v>27</c:v>
                </c:pt>
                <c:pt idx="29">
                  <c:v>32</c:v>
                </c:pt>
                <c:pt idx="30">
                  <c:v>26</c:v>
                </c:pt>
                <c:pt idx="31">
                  <c:v>27</c:v>
                </c:pt>
                <c:pt idx="32">
                  <c:v>30</c:v>
                </c:pt>
                <c:pt idx="33">
                  <c:v>27</c:v>
                </c:pt>
                <c:pt idx="34">
                  <c:v>28</c:v>
                </c:pt>
                <c:pt idx="35">
                  <c:v>31</c:v>
                </c:pt>
                <c:pt idx="36">
                  <c:v>25</c:v>
                </c:pt>
                <c:pt idx="37">
                  <c:v>25</c:v>
                </c:pt>
                <c:pt idx="38">
                  <c:v>26</c:v>
                </c:pt>
                <c:pt idx="39">
                  <c:v>24</c:v>
                </c:pt>
                <c:pt idx="40">
                  <c:v>25</c:v>
                </c:pt>
                <c:pt idx="41">
                  <c:v>33</c:v>
                </c:pt>
                <c:pt idx="42">
                  <c:v>29</c:v>
                </c:pt>
                <c:pt idx="43">
                  <c:v>35</c:v>
                </c:pt>
                <c:pt idx="44">
                  <c:v>29</c:v>
                </c:pt>
                <c:pt idx="45">
                  <c:v>28</c:v>
                </c:pt>
                <c:pt idx="46">
                  <c:v>28</c:v>
                </c:pt>
                <c:pt idx="47">
                  <c:v>30</c:v>
                </c:pt>
                <c:pt idx="48">
                  <c:v>27</c:v>
                </c:pt>
                <c:pt idx="49">
                  <c:v>26</c:v>
                </c:pt>
                <c:pt idx="50">
                  <c:v>27</c:v>
                </c:pt>
                <c:pt idx="51">
                  <c:v>28</c:v>
                </c:pt>
                <c:pt idx="52">
                  <c:v>25</c:v>
                </c:pt>
                <c:pt idx="53">
                  <c:v>26</c:v>
                </c:pt>
                <c:pt idx="54">
                  <c:v>32</c:v>
                </c:pt>
                <c:pt idx="55">
                  <c:v>25</c:v>
                </c:pt>
                <c:pt idx="56">
                  <c:v>26</c:v>
                </c:pt>
                <c:pt idx="57">
                  <c:v>27</c:v>
                </c:pt>
                <c:pt idx="58">
                  <c:v>31</c:v>
                </c:pt>
                <c:pt idx="59">
                  <c:v>24</c:v>
                </c:pt>
                <c:pt idx="60">
                  <c:v>35</c:v>
                </c:pt>
                <c:pt idx="61">
                  <c:v>39</c:v>
                </c:pt>
                <c:pt idx="62">
                  <c:v>29</c:v>
                </c:pt>
                <c:pt idx="63">
                  <c:v>26</c:v>
                </c:pt>
                <c:pt idx="64">
                  <c:v>33</c:v>
                </c:pt>
                <c:pt idx="65">
                  <c:v>24</c:v>
                </c:pt>
                <c:pt idx="66">
                  <c:v>27</c:v>
                </c:pt>
                <c:pt idx="67">
                  <c:v>28</c:v>
                </c:pt>
                <c:pt idx="68">
                  <c:v>31</c:v>
                </c:pt>
                <c:pt idx="69">
                  <c:v>30</c:v>
                </c:pt>
                <c:pt idx="70">
                  <c:v>30</c:v>
                </c:pt>
                <c:pt idx="71">
                  <c:v>29</c:v>
                </c:pt>
                <c:pt idx="72">
                  <c:v>33</c:v>
                </c:pt>
                <c:pt idx="73">
                  <c:v>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8C9-4402-86B2-A700EF8352C0}"/>
            </c:ext>
          </c:extLst>
        </c:ser>
        <c:ser>
          <c:idx val="3"/>
          <c:order val="3"/>
          <c:tx>
            <c:v>Среднее по группе</c:v>
          </c:tx>
          <c:spPr>
            <a:ln w="31750">
              <a:solidFill>
                <a:srgbClr val="D83E50"/>
              </a:solidFill>
              <a:prstDash val="solid"/>
            </a:ln>
          </c:spPr>
          <c:marker>
            <c:symbol val="diamond"/>
            <c:size val="9"/>
            <c:spPr>
              <a:solidFill>
                <a:srgbClr val="D83E50"/>
              </a:solidFill>
              <a:ln>
                <a:noFill/>
                <a:prstDash val="solid"/>
              </a:ln>
            </c:spPr>
          </c:marker>
          <c:xVal>
            <c:numRef>
              <c:f>Расчёты_графиков!$E$320:$I$320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Расчёты_графиков!$E$322:$I$322</c:f>
              <c:numCache>
                <c:formatCode>0.00</c:formatCode>
                <c:ptCount val="5"/>
                <c:pt idx="0">
                  <c:v>29.142857142857142</c:v>
                </c:pt>
                <c:pt idx="1">
                  <c:v>25.333333333333332</c:v>
                </c:pt>
                <c:pt idx="2">
                  <c:v>27.64</c:v>
                </c:pt>
                <c:pt idx="3">
                  <c:v>29.208333333333332</c:v>
                </c:pt>
                <c:pt idx="4">
                  <c:v>27.333333333333332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8C9-4402-86B2-A700EF835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ax val="6"/>
          <c:min val="0"/>
        </c:scaling>
        <c:delete val="0"/>
        <c:axPos val="b"/>
        <c:title>
          <c:tx>
            <c:strRef>
              <c:f>Спирман_графики!$D$40</c:f>
              <c:strCache>
                <c:ptCount val="1"/>
                <c:pt idx="0">
                  <c:v>Л1</c:v>
                </c:pt>
              </c:strCache>
            </c:strRef>
          </c:tx>
          <c:overlay val="0"/>
          <c:txPr>
            <a:bodyPr/>
            <a:lstStyle/>
            <a:p>
              <a:pPr>
                <a:defRPr sz="1100" b="1">
                  <a:solidFill>
                    <a:srgbClr val="263746"/>
                  </a:solidFill>
                  <a:latin typeface="Arial"/>
                </a:defRPr>
              </a:pPr>
              <a:endParaRPr lang="ru-RU"/>
            </a:p>
          </c:txPr>
        </c:title>
        <c:numFmt formatCode="[&lt;1]&quot;&quot;;[&gt;5]&quot;&quot;;0" sourceLinked="0"/>
        <c:majorTickMark val="out"/>
        <c:minorTickMark val="none"/>
        <c:tickLblPos val="low"/>
        <c:spPr>
          <a:ln w="9525">
            <a:solidFill>
              <a:srgbClr val="263746"/>
            </a:solidFill>
            <a:prstDash val="solid"/>
          </a:ln>
        </c:spPr>
        <c:txPr>
          <a:bodyPr/>
          <a:lstStyle/>
          <a:p>
            <a:pPr>
              <a:defRPr sz="1000" b="0">
                <a:solidFill>
                  <a:srgbClr val="263746"/>
                </a:solidFill>
                <a:latin typeface="Arial"/>
              </a:defRPr>
            </a:pPr>
            <a:endParaRPr lang="ru-RU"/>
          </a:p>
        </c:txPr>
        <c:crossAx val="20"/>
        <c:crosses val="autoZero"/>
        <c:crossBetween val="midCat"/>
        <c:majorUnit val="1"/>
      </c:valAx>
      <c:valAx>
        <c:axId val="20"/>
        <c:scaling>
          <c:orientation val="minMax"/>
          <c:max val="45"/>
          <c:min val="0"/>
        </c:scaling>
        <c:delete val="0"/>
        <c:axPos val="l"/>
        <c:majorGridlines>
          <c:spPr>
            <a:ln w="6350">
              <a:solidFill>
                <a:srgbClr val="E4E9EC"/>
              </a:solidFill>
              <a:prstDash val="solid"/>
            </a:ln>
          </c:spPr>
        </c:majorGridlines>
        <c:title>
          <c:tx>
            <c:strRef>
              <c:f>Спирман_графики!$J$40</c:f>
              <c:strCache>
                <c:ptCount val="1"/>
                <c:pt idx="0">
                  <c:v>К2</c:v>
                </c:pt>
              </c:strCache>
            </c:strRef>
          </c:tx>
          <c:overlay val="0"/>
          <c:txPr>
            <a:bodyPr/>
            <a:lstStyle/>
            <a:p>
              <a:pPr>
                <a:defRPr sz="1100" b="1">
                  <a:solidFill>
                    <a:srgbClr val="263746"/>
                  </a:solidFill>
                  <a:latin typeface="Arial"/>
                </a:defRPr>
              </a:pPr>
              <a:endParaRPr lang="ru-RU"/>
            </a:p>
          </c:txPr>
        </c:title>
        <c:numFmt formatCode="0" sourceLinked="0"/>
        <c:majorTickMark val="out"/>
        <c:minorTickMark val="none"/>
        <c:tickLblPos val="low"/>
        <c:spPr>
          <a:ln w="9525">
            <a:solidFill>
              <a:srgbClr val="263746"/>
            </a:solidFill>
            <a:prstDash val="solid"/>
          </a:ln>
        </c:spPr>
        <c:txPr>
          <a:bodyPr/>
          <a:lstStyle/>
          <a:p>
            <a:pPr>
              <a:defRPr sz="1000" b="0">
                <a:solidFill>
                  <a:srgbClr val="263746"/>
                </a:solidFill>
                <a:latin typeface="Arial"/>
              </a:defRPr>
            </a:pPr>
            <a:endParaRPr lang="ru-RU"/>
          </a:p>
        </c:txPr>
        <c:crossAx val="10"/>
        <c:crosses val="autoZero"/>
        <c:crossBetween val="midCat"/>
        <c:majorUnit val="5"/>
      </c:valAx>
      <c:spPr>
        <a:solidFill>
          <a:srgbClr val="FFFFFF"/>
        </a:solidFill>
        <a:ln>
          <a:prstDash val="solid"/>
        </a:ln>
      </c:spPr>
    </c:plotArea>
    <c:legend>
      <c:legendPos val="b"/>
      <c:overlay val="0"/>
      <c:txPr>
        <a:bodyPr/>
        <a:lstStyle/>
        <a:p>
          <a:pPr>
            <a:defRPr sz="950" b="0">
              <a:solidFill>
                <a:srgbClr val="263746"/>
              </a:solidFill>
              <a:latin typeface="Arial"/>
            </a:defRPr>
          </a:pPr>
          <a:endParaRPr lang="ru-RU"/>
        </a:p>
      </c:txPr>
    </c:legend>
    <c:plotVisOnly val="1"/>
    <c:dispBlanksAs val="gap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strRef>
          <c:f>Расчёты_графиков!$B$565</c:f>
          <c:strCache>
            <c:ptCount val="1"/>
            <c:pt idx="0">
              <c:v>К3 в зависимости от Л1
ρ = −0,363; p = 0,0015; n = 74</c:v>
            </c:pt>
          </c:strCache>
        </c:strRef>
      </c:tx>
      <c:overlay val="0"/>
      <c:txPr>
        <a:bodyPr/>
        <a:lstStyle/>
        <a:p>
          <a:pPr>
            <a:defRPr sz="1200" b="0">
              <a:solidFill>
                <a:srgbClr val="263746"/>
              </a:solidFill>
              <a:latin typeface="Arial"/>
            </a:defRPr>
          </a:pPr>
          <a:endParaRPr lang="ru-RU"/>
        </a:p>
      </c:txPr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Межквартильный размах и усы</c:v>
          </c:tx>
          <c:spPr>
            <a:ln w="22860">
              <a:solidFill>
                <a:srgbClr val="326A8D"/>
              </a:solidFill>
              <a:prstDash val="solid"/>
            </a:ln>
          </c:spPr>
          <c:marker>
            <c:symbol val="none"/>
          </c:marker>
          <c:xVal>
            <c:numRef>
              <c:f>Расчёты_графиков!$A$570:$A$663</c:f>
              <c:numCache>
                <c:formatCode>General</c:formatCode>
                <c:ptCount val="94"/>
                <c:pt idx="0">
                  <c:v>0.75</c:v>
                </c:pt>
                <c:pt idx="1">
                  <c:v>1.25</c:v>
                </c:pt>
                <c:pt idx="2">
                  <c:v>1.25</c:v>
                </c:pt>
                <c:pt idx="3">
                  <c:v>0.75</c:v>
                </c:pt>
                <c:pt idx="4">
                  <c:v>0.75</c:v>
                </c:pt>
                <c:pt idx="6">
                  <c:v>0.75</c:v>
                </c:pt>
                <c:pt idx="7">
                  <c:v>1.25</c:v>
                </c:pt>
                <c:pt idx="9">
                  <c:v>0.87</c:v>
                </c:pt>
                <c:pt idx="10">
                  <c:v>1.1299999999999999</c:v>
                </c:pt>
                <c:pt idx="11">
                  <c:v>1</c:v>
                </c:pt>
                <c:pt idx="12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0.87</c:v>
                </c:pt>
                <c:pt idx="17">
                  <c:v>1.1299999999999999</c:v>
                </c:pt>
                <c:pt idx="19">
                  <c:v>1.75</c:v>
                </c:pt>
                <c:pt idx="20">
                  <c:v>2.25</c:v>
                </c:pt>
                <c:pt idx="21">
                  <c:v>2.25</c:v>
                </c:pt>
                <c:pt idx="22">
                  <c:v>1.75</c:v>
                </c:pt>
                <c:pt idx="23">
                  <c:v>1.75</c:v>
                </c:pt>
                <c:pt idx="25">
                  <c:v>1.75</c:v>
                </c:pt>
                <c:pt idx="26">
                  <c:v>2.25</c:v>
                </c:pt>
                <c:pt idx="28">
                  <c:v>1.87</c:v>
                </c:pt>
                <c:pt idx="29">
                  <c:v>2.13</c:v>
                </c:pt>
                <c:pt idx="30">
                  <c:v>2</c:v>
                </c:pt>
                <c:pt idx="31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1.87</c:v>
                </c:pt>
                <c:pt idx="36">
                  <c:v>2.13</c:v>
                </c:pt>
                <c:pt idx="38">
                  <c:v>2.75</c:v>
                </c:pt>
                <c:pt idx="39">
                  <c:v>3.25</c:v>
                </c:pt>
                <c:pt idx="40">
                  <c:v>3.25</c:v>
                </c:pt>
                <c:pt idx="41">
                  <c:v>2.75</c:v>
                </c:pt>
                <c:pt idx="42">
                  <c:v>2.75</c:v>
                </c:pt>
                <c:pt idx="44">
                  <c:v>2.75</c:v>
                </c:pt>
                <c:pt idx="45">
                  <c:v>3.25</c:v>
                </c:pt>
                <c:pt idx="47">
                  <c:v>2.87</c:v>
                </c:pt>
                <c:pt idx="48">
                  <c:v>3.13</c:v>
                </c:pt>
                <c:pt idx="49">
                  <c:v>3</c:v>
                </c:pt>
                <c:pt idx="50">
                  <c:v>3</c:v>
                </c:pt>
                <c:pt idx="52">
                  <c:v>3</c:v>
                </c:pt>
                <c:pt idx="53">
                  <c:v>3</c:v>
                </c:pt>
                <c:pt idx="54">
                  <c:v>2.87</c:v>
                </c:pt>
                <c:pt idx="55">
                  <c:v>3.13</c:v>
                </c:pt>
                <c:pt idx="57">
                  <c:v>3.75</c:v>
                </c:pt>
                <c:pt idx="58">
                  <c:v>4.25</c:v>
                </c:pt>
                <c:pt idx="59">
                  <c:v>4.25</c:v>
                </c:pt>
                <c:pt idx="60">
                  <c:v>3.75</c:v>
                </c:pt>
                <c:pt idx="61">
                  <c:v>3.75</c:v>
                </c:pt>
                <c:pt idx="63">
                  <c:v>3.75</c:v>
                </c:pt>
                <c:pt idx="64">
                  <c:v>4.25</c:v>
                </c:pt>
                <c:pt idx="66">
                  <c:v>3.87</c:v>
                </c:pt>
                <c:pt idx="67">
                  <c:v>4.13</c:v>
                </c:pt>
                <c:pt idx="68">
                  <c:v>4</c:v>
                </c:pt>
                <c:pt idx="69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3.87</c:v>
                </c:pt>
                <c:pt idx="74">
                  <c:v>4.13</c:v>
                </c:pt>
                <c:pt idx="76">
                  <c:v>4.75</c:v>
                </c:pt>
                <c:pt idx="77">
                  <c:v>5.25</c:v>
                </c:pt>
                <c:pt idx="78">
                  <c:v>5.25</c:v>
                </c:pt>
                <c:pt idx="79">
                  <c:v>4.75</c:v>
                </c:pt>
                <c:pt idx="80">
                  <c:v>4.75</c:v>
                </c:pt>
                <c:pt idx="82">
                  <c:v>4.75</c:v>
                </c:pt>
                <c:pt idx="83">
                  <c:v>5.25</c:v>
                </c:pt>
                <c:pt idx="85">
                  <c:v>4.87</c:v>
                </c:pt>
                <c:pt idx="86">
                  <c:v>5.13</c:v>
                </c:pt>
                <c:pt idx="87">
                  <c:v>5</c:v>
                </c:pt>
                <c:pt idx="88">
                  <c:v>5</c:v>
                </c:pt>
                <c:pt idx="90">
                  <c:v>5</c:v>
                </c:pt>
                <c:pt idx="91">
                  <c:v>5</c:v>
                </c:pt>
                <c:pt idx="92">
                  <c:v>4.87</c:v>
                </c:pt>
                <c:pt idx="93">
                  <c:v>5.13</c:v>
                </c:pt>
              </c:numCache>
            </c:numRef>
          </c:xVal>
          <c:yVal>
            <c:numRef>
              <c:f>Расчёты_графиков!$B$570:$B$663</c:f>
              <c:numCache>
                <c:formatCode>General</c:formatCode>
                <c:ptCount val="94"/>
                <c:pt idx="0">
                  <c:v>16</c:v>
                </c:pt>
                <c:pt idx="1">
                  <c:v>16</c:v>
                </c:pt>
                <c:pt idx="2">
                  <c:v>19.5</c:v>
                </c:pt>
                <c:pt idx="3">
                  <c:v>19.5</c:v>
                </c:pt>
                <c:pt idx="4">
                  <c:v>16</c:v>
                </c:pt>
                <c:pt idx="6">
                  <c:v>18</c:v>
                </c:pt>
                <c:pt idx="7">
                  <c:v>18</c:v>
                </c:pt>
                <c:pt idx="9">
                  <c:v>13</c:v>
                </c:pt>
                <c:pt idx="10">
                  <c:v>13</c:v>
                </c:pt>
                <c:pt idx="11">
                  <c:v>13</c:v>
                </c:pt>
                <c:pt idx="12">
                  <c:v>16</c:v>
                </c:pt>
                <c:pt idx="14">
                  <c:v>19.5</c:v>
                </c:pt>
                <c:pt idx="15">
                  <c:v>22</c:v>
                </c:pt>
                <c:pt idx="16">
                  <c:v>22</c:v>
                </c:pt>
                <c:pt idx="17">
                  <c:v>22</c:v>
                </c:pt>
                <c:pt idx="19">
                  <c:v>14.75</c:v>
                </c:pt>
                <c:pt idx="20">
                  <c:v>14.75</c:v>
                </c:pt>
                <c:pt idx="21">
                  <c:v>18.75</c:v>
                </c:pt>
                <c:pt idx="22">
                  <c:v>18.75</c:v>
                </c:pt>
                <c:pt idx="23">
                  <c:v>14.75</c:v>
                </c:pt>
                <c:pt idx="25">
                  <c:v>17</c:v>
                </c:pt>
                <c:pt idx="26">
                  <c:v>17</c:v>
                </c:pt>
                <c:pt idx="28">
                  <c:v>12</c:v>
                </c:pt>
                <c:pt idx="29">
                  <c:v>12</c:v>
                </c:pt>
                <c:pt idx="30">
                  <c:v>12</c:v>
                </c:pt>
                <c:pt idx="31">
                  <c:v>14.75</c:v>
                </c:pt>
                <c:pt idx="33">
                  <c:v>18.75</c:v>
                </c:pt>
                <c:pt idx="34">
                  <c:v>24</c:v>
                </c:pt>
                <c:pt idx="35">
                  <c:v>24</c:v>
                </c:pt>
                <c:pt idx="36">
                  <c:v>24</c:v>
                </c:pt>
                <c:pt idx="38">
                  <c:v>14</c:v>
                </c:pt>
                <c:pt idx="39">
                  <c:v>14</c:v>
                </c:pt>
                <c:pt idx="40">
                  <c:v>18</c:v>
                </c:pt>
                <c:pt idx="41">
                  <c:v>18</c:v>
                </c:pt>
                <c:pt idx="42">
                  <c:v>14</c:v>
                </c:pt>
                <c:pt idx="44">
                  <c:v>16</c:v>
                </c:pt>
                <c:pt idx="45">
                  <c:v>16</c:v>
                </c:pt>
                <c:pt idx="47">
                  <c:v>9</c:v>
                </c:pt>
                <c:pt idx="48">
                  <c:v>9</c:v>
                </c:pt>
                <c:pt idx="49">
                  <c:v>9</c:v>
                </c:pt>
                <c:pt idx="50">
                  <c:v>14</c:v>
                </c:pt>
                <c:pt idx="52">
                  <c:v>18</c:v>
                </c:pt>
                <c:pt idx="53">
                  <c:v>24</c:v>
                </c:pt>
                <c:pt idx="54">
                  <c:v>24</c:v>
                </c:pt>
                <c:pt idx="55">
                  <c:v>24</c:v>
                </c:pt>
                <c:pt idx="57">
                  <c:v>12</c:v>
                </c:pt>
                <c:pt idx="58">
                  <c:v>12</c:v>
                </c:pt>
                <c:pt idx="59">
                  <c:v>16</c:v>
                </c:pt>
                <c:pt idx="60">
                  <c:v>16</c:v>
                </c:pt>
                <c:pt idx="61">
                  <c:v>12</c:v>
                </c:pt>
                <c:pt idx="63">
                  <c:v>15</c:v>
                </c:pt>
                <c:pt idx="64">
                  <c:v>15</c:v>
                </c:pt>
                <c:pt idx="66">
                  <c:v>8</c:v>
                </c:pt>
                <c:pt idx="67">
                  <c:v>8</c:v>
                </c:pt>
                <c:pt idx="68">
                  <c:v>8</c:v>
                </c:pt>
                <c:pt idx="69">
                  <c:v>12</c:v>
                </c:pt>
                <c:pt idx="71">
                  <c:v>16</c:v>
                </c:pt>
                <c:pt idx="72">
                  <c:v>19</c:v>
                </c:pt>
                <c:pt idx="73">
                  <c:v>19</c:v>
                </c:pt>
                <c:pt idx="74">
                  <c:v>19</c:v>
                </c:pt>
                <c:pt idx="76">
                  <c:v>8.5</c:v>
                </c:pt>
                <c:pt idx="77">
                  <c:v>8.5</c:v>
                </c:pt>
                <c:pt idx="78">
                  <c:v>15.75</c:v>
                </c:pt>
                <c:pt idx="79">
                  <c:v>15.75</c:v>
                </c:pt>
                <c:pt idx="80">
                  <c:v>8.5</c:v>
                </c:pt>
                <c:pt idx="82">
                  <c:v>14</c:v>
                </c:pt>
                <c:pt idx="83">
                  <c:v>14</c:v>
                </c:pt>
                <c:pt idx="85">
                  <c:v>6</c:v>
                </c:pt>
                <c:pt idx="86">
                  <c:v>6</c:v>
                </c:pt>
                <c:pt idx="87">
                  <c:v>6</c:v>
                </c:pt>
                <c:pt idx="88">
                  <c:v>8.5</c:v>
                </c:pt>
                <c:pt idx="90">
                  <c:v>15.75</c:v>
                </c:pt>
                <c:pt idx="91">
                  <c:v>19</c:v>
                </c:pt>
                <c:pt idx="92">
                  <c:v>19</c:v>
                </c:pt>
                <c:pt idx="93">
                  <c:v>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F11-4F27-BC61-D589C481E3C6}"/>
            </c:ext>
          </c:extLst>
        </c:ser>
        <c:ser>
          <c:idx val="1"/>
          <c:order val="1"/>
          <c:tx>
            <c:v>Медиана</c:v>
          </c:tx>
          <c:spPr>
            <a:ln w="31750">
              <a:solidFill>
                <a:srgbClr val="203D66"/>
              </a:solidFill>
              <a:prstDash val="solid"/>
            </a:ln>
          </c:spPr>
          <c:marker>
            <c:symbol val="none"/>
          </c:marker>
          <c:xVal>
            <c:numRef>
              <c:f>Расчёты_графиков!$U$570:$U$583</c:f>
              <c:numCache>
                <c:formatCode>General</c:formatCode>
                <c:ptCount val="14"/>
                <c:pt idx="0">
                  <c:v>0.75</c:v>
                </c:pt>
                <c:pt idx="1">
                  <c:v>1.25</c:v>
                </c:pt>
                <c:pt idx="3">
                  <c:v>1.75</c:v>
                </c:pt>
                <c:pt idx="4">
                  <c:v>2.25</c:v>
                </c:pt>
                <c:pt idx="6">
                  <c:v>2.75</c:v>
                </c:pt>
                <c:pt idx="7">
                  <c:v>3.25</c:v>
                </c:pt>
                <c:pt idx="9">
                  <c:v>3.75</c:v>
                </c:pt>
                <c:pt idx="10">
                  <c:v>4.25</c:v>
                </c:pt>
                <c:pt idx="12">
                  <c:v>4.75</c:v>
                </c:pt>
                <c:pt idx="13">
                  <c:v>5.25</c:v>
                </c:pt>
              </c:numCache>
            </c:numRef>
          </c:xVal>
          <c:yVal>
            <c:numRef>
              <c:f>Расчёты_графиков!$V$570:$V$583</c:f>
              <c:numCache>
                <c:formatCode>General</c:formatCode>
                <c:ptCount val="14"/>
                <c:pt idx="0">
                  <c:v>18</c:v>
                </c:pt>
                <c:pt idx="1">
                  <c:v>18</c:v>
                </c:pt>
                <c:pt idx="3">
                  <c:v>17</c:v>
                </c:pt>
                <c:pt idx="4">
                  <c:v>17</c:v>
                </c:pt>
                <c:pt idx="6">
                  <c:v>16</c:v>
                </c:pt>
                <c:pt idx="7">
                  <c:v>16</c:v>
                </c:pt>
                <c:pt idx="9">
                  <c:v>15</c:v>
                </c:pt>
                <c:pt idx="10">
                  <c:v>15</c:v>
                </c:pt>
                <c:pt idx="12">
                  <c:v>14</c:v>
                </c:pt>
                <c:pt idx="13">
                  <c:v>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F11-4F27-BC61-D589C481E3C6}"/>
            </c:ext>
          </c:extLst>
        </c:ser>
        <c:ser>
          <c:idx val="2"/>
          <c:order val="2"/>
          <c:tx>
            <c:v>Наблюдения</c:v>
          </c:tx>
          <c:spPr>
            <a:ln>
              <a:noFill/>
              <a:prstDash val="solid"/>
            </a:ln>
          </c:spPr>
          <c:marker>
            <c:symbol val="circle"/>
            <c:size val="5"/>
            <c:spPr>
              <a:solidFill>
                <a:srgbClr val="83969E"/>
              </a:solidFill>
              <a:ln>
                <a:noFill/>
                <a:prstDash val="solid"/>
              </a:ln>
            </c:spPr>
          </c:marker>
          <c:xVal>
            <c:numRef>
              <c:f>Расчёты_графиков!$O$472:$O$545</c:f>
              <c:numCache>
                <c:formatCode>General</c:formatCode>
                <c:ptCount val="74"/>
                <c:pt idx="0">
                  <c:v>0.89500000000000002</c:v>
                </c:pt>
                <c:pt idx="1">
                  <c:v>1.895</c:v>
                </c:pt>
                <c:pt idx="2">
                  <c:v>1.895</c:v>
                </c:pt>
                <c:pt idx="3">
                  <c:v>1.895</c:v>
                </c:pt>
                <c:pt idx="4">
                  <c:v>0.89500000000000002</c:v>
                </c:pt>
                <c:pt idx="5">
                  <c:v>0.89500000000000002</c:v>
                </c:pt>
                <c:pt idx="6">
                  <c:v>0.89500000000000002</c:v>
                </c:pt>
                <c:pt idx="7">
                  <c:v>1.895</c:v>
                </c:pt>
                <c:pt idx="8">
                  <c:v>1.895</c:v>
                </c:pt>
                <c:pt idx="9">
                  <c:v>0.92999999999999994</c:v>
                </c:pt>
                <c:pt idx="10">
                  <c:v>1.895</c:v>
                </c:pt>
                <c:pt idx="11">
                  <c:v>0.89500000000000002</c:v>
                </c:pt>
                <c:pt idx="12">
                  <c:v>0.92999999999999994</c:v>
                </c:pt>
                <c:pt idx="13">
                  <c:v>1.93</c:v>
                </c:pt>
                <c:pt idx="14">
                  <c:v>1.895</c:v>
                </c:pt>
                <c:pt idx="15">
                  <c:v>1.895</c:v>
                </c:pt>
                <c:pt idx="16">
                  <c:v>1.895</c:v>
                </c:pt>
                <c:pt idx="17">
                  <c:v>1.895</c:v>
                </c:pt>
                <c:pt idx="18">
                  <c:v>1.93</c:v>
                </c:pt>
                <c:pt idx="19">
                  <c:v>3.895</c:v>
                </c:pt>
                <c:pt idx="20">
                  <c:v>2.895</c:v>
                </c:pt>
                <c:pt idx="21">
                  <c:v>2.895</c:v>
                </c:pt>
                <c:pt idx="22">
                  <c:v>2.895</c:v>
                </c:pt>
                <c:pt idx="23">
                  <c:v>2.895</c:v>
                </c:pt>
                <c:pt idx="24">
                  <c:v>2.895</c:v>
                </c:pt>
                <c:pt idx="25">
                  <c:v>2.93</c:v>
                </c:pt>
                <c:pt idx="26">
                  <c:v>2.93</c:v>
                </c:pt>
                <c:pt idx="27">
                  <c:v>2.895</c:v>
                </c:pt>
                <c:pt idx="28">
                  <c:v>2.93</c:v>
                </c:pt>
                <c:pt idx="29">
                  <c:v>3.895</c:v>
                </c:pt>
                <c:pt idx="30">
                  <c:v>2.9649999999999999</c:v>
                </c:pt>
                <c:pt idx="31">
                  <c:v>2.9649999999999999</c:v>
                </c:pt>
                <c:pt idx="32">
                  <c:v>2.93</c:v>
                </c:pt>
                <c:pt idx="33">
                  <c:v>2.895</c:v>
                </c:pt>
                <c:pt idx="34">
                  <c:v>3.895</c:v>
                </c:pt>
                <c:pt idx="35">
                  <c:v>2.93</c:v>
                </c:pt>
                <c:pt idx="36">
                  <c:v>2.93</c:v>
                </c:pt>
                <c:pt idx="37">
                  <c:v>3.895</c:v>
                </c:pt>
                <c:pt idx="38">
                  <c:v>2.895</c:v>
                </c:pt>
                <c:pt idx="39">
                  <c:v>3.93</c:v>
                </c:pt>
                <c:pt idx="40">
                  <c:v>3</c:v>
                </c:pt>
                <c:pt idx="41">
                  <c:v>3.93</c:v>
                </c:pt>
                <c:pt idx="42">
                  <c:v>3.0350000000000001</c:v>
                </c:pt>
                <c:pt idx="43">
                  <c:v>2.9649999999999999</c:v>
                </c:pt>
                <c:pt idx="44">
                  <c:v>3.895</c:v>
                </c:pt>
                <c:pt idx="45">
                  <c:v>2.895</c:v>
                </c:pt>
                <c:pt idx="46">
                  <c:v>3.93</c:v>
                </c:pt>
                <c:pt idx="47">
                  <c:v>2.895</c:v>
                </c:pt>
                <c:pt idx="48">
                  <c:v>2.9649999999999999</c:v>
                </c:pt>
                <c:pt idx="49">
                  <c:v>2.895</c:v>
                </c:pt>
                <c:pt idx="50">
                  <c:v>3</c:v>
                </c:pt>
                <c:pt idx="51">
                  <c:v>3.895</c:v>
                </c:pt>
                <c:pt idx="52">
                  <c:v>2.895</c:v>
                </c:pt>
                <c:pt idx="53">
                  <c:v>3.895</c:v>
                </c:pt>
                <c:pt idx="54">
                  <c:v>3.93</c:v>
                </c:pt>
                <c:pt idx="55">
                  <c:v>3.9649999999999999</c:v>
                </c:pt>
                <c:pt idx="56">
                  <c:v>3.9649999999999999</c:v>
                </c:pt>
                <c:pt idx="57">
                  <c:v>3.93</c:v>
                </c:pt>
                <c:pt idx="58">
                  <c:v>3.895</c:v>
                </c:pt>
                <c:pt idx="59">
                  <c:v>4.8949999999999996</c:v>
                </c:pt>
                <c:pt idx="60">
                  <c:v>3.895</c:v>
                </c:pt>
                <c:pt idx="61">
                  <c:v>3.93</c:v>
                </c:pt>
                <c:pt idx="62">
                  <c:v>3.9649999999999999</c:v>
                </c:pt>
                <c:pt idx="63">
                  <c:v>4</c:v>
                </c:pt>
                <c:pt idx="64">
                  <c:v>4</c:v>
                </c:pt>
                <c:pt idx="65">
                  <c:v>4.8949999999999996</c:v>
                </c:pt>
                <c:pt idx="66">
                  <c:v>4.8949999999999996</c:v>
                </c:pt>
                <c:pt idx="67">
                  <c:v>3.9649999999999999</c:v>
                </c:pt>
                <c:pt idx="68">
                  <c:v>4.0350000000000001</c:v>
                </c:pt>
                <c:pt idx="69">
                  <c:v>4.8949999999999996</c:v>
                </c:pt>
                <c:pt idx="70">
                  <c:v>4.8949999999999996</c:v>
                </c:pt>
                <c:pt idx="71">
                  <c:v>4.8949999999999996</c:v>
                </c:pt>
                <c:pt idx="72">
                  <c:v>3.895</c:v>
                </c:pt>
                <c:pt idx="73">
                  <c:v>3.93</c:v>
                </c:pt>
              </c:numCache>
            </c:numRef>
          </c:xVal>
          <c:yVal>
            <c:numRef>
              <c:f>Расчёты_графиков!$P$472:$P$545</c:f>
              <c:numCache>
                <c:formatCode>General</c:formatCode>
                <c:ptCount val="74"/>
                <c:pt idx="0">
                  <c:v>13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16</c:v>
                </c:pt>
                <c:pt idx="5">
                  <c:v>21</c:v>
                </c:pt>
                <c:pt idx="6">
                  <c:v>18</c:v>
                </c:pt>
                <c:pt idx="7">
                  <c:v>21</c:v>
                </c:pt>
                <c:pt idx="8">
                  <c:v>17</c:v>
                </c:pt>
                <c:pt idx="9">
                  <c:v>16</c:v>
                </c:pt>
                <c:pt idx="10">
                  <c:v>22</c:v>
                </c:pt>
                <c:pt idx="11">
                  <c:v>22</c:v>
                </c:pt>
                <c:pt idx="12">
                  <c:v>18</c:v>
                </c:pt>
                <c:pt idx="13">
                  <c:v>17</c:v>
                </c:pt>
                <c:pt idx="14">
                  <c:v>18</c:v>
                </c:pt>
                <c:pt idx="15">
                  <c:v>24</c:v>
                </c:pt>
                <c:pt idx="16">
                  <c:v>16</c:v>
                </c:pt>
                <c:pt idx="17">
                  <c:v>15</c:v>
                </c:pt>
                <c:pt idx="18">
                  <c:v>18</c:v>
                </c:pt>
                <c:pt idx="19">
                  <c:v>15</c:v>
                </c:pt>
                <c:pt idx="20">
                  <c:v>15</c:v>
                </c:pt>
                <c:pt idx="21">
                  <c:v>16</c:v>
                </c:pt>
                <c:pt idx="22">
                  <c:v>21</c:v>
                </c:pt>
                <c:pt idx="23">
                  <c:v>20</c:v>
                </c:pt>
                <c:pt idx="24">
                  <c:v>14</c:v>
                </c:pt>
                <c:pt idx="25">
                  <c:v>15</c:v>
                </c:pt>
                <c:pt idx="26">
                  <c:v>14</c:v>
                </c:pt>
                <c:pt idx="27">
                  <c:v>18</c:v>
                </c:pt>
                <c:pt idx="28">
                  <c:v>18</c:v>
                </c:pt>
                <c:pt idx="29">
                  <c:v>16</c:v>
                </c:pt>
                <c:pt idx="30">
                  <c:v>14</c:v>
                </c:pt>
                <c:pt idx="31">
                  <c:v>18</c:v>
                </c:pt>
                <c:pt idx="32">
                  <c:v>20</c:v>
                </c:pt>
                <c:pt idx="33">
                  <c:v>13</c:v>
                </c:pt>
                <c:pt idx="34">
                  <c:v>12</c:v>
                </c:pt>
                <c:pt idx="35">
                  <c:v>13</c:v>
                </c:pt>
                <c:pt idx="36">
                  <c:v>16</c:v>
                </c:pt>
                <c:pt idx="37">
                  <c:v>14</c:v>
                </c:pt>
                <c:pt idx="38">
                  <c:v>24</c:v>
                </c:pt>
                <c:pt idx="39">
                  <c:v>15</c:v>
                </c:pt>
                <c:pt idx="40">
                  <c:v>18</c:v>
                </c:pt>
                <c:pt idx="41">
                  <c:v>12</c:v>
                </c:pt>
                <c:pt idx="42">
                  <c:v>18</c:v>
                </c:pt>
                <c:pt idx="43">
                  <c:v>15</c:v>
                </c:pt>
                <c:pt idx="44">
                  <c:v>17</c:v>
                </c:pt>
                <c:pt idx="45">
                  <c:v>12</c:v>
                </c:pt>
                <c:pt idx="46">
                  <c:v>16</c:v>
                </c:pt>
                <c:pt idx="47">
                  <c:v>9</c:v>
                </c:pt>
                <c:pt idx="48">
                  <c:v>16</c:v>
                </c:pt>
                <c:pt idx="49">
                  <c:v>19</c:v>
                </c:pt>
                <c:pt idx="50">
                  <c:v>16</c:v>
                </c:pt>
                <c:pt idx="51">
                  <c:v>8</c:v>
                </c:pt>
                <c:pt idx="52">
                  <c:v>17</c:v>
                </c:pt>
                <c:pt idx="53">
                  <c:v>19</c:v>
                </c:pt>
                <c:pt idx="54">
                  <c:v>19</c:v>
                </c:pt>
                <c:pt idx="55">
                  <c:v>15</c:v>
                </c:pt>
                <c:pt idx="56">
                  <c:v>16</c:v>
                </c:pt>
                <c:pt idx="57">
                  <c:v>17</c:v>
                </c:pt>
                <c:pt idx="58">
                  <c:v>24</c:v>
                </c:pt>
                <c:pt idx="59">
                  <c:v>7</c:v>
                </c:pt>
                <c:pt idx="60">
                  <c:v>10</c:v>
                </c:pt>
                <c:pt idx="61">
                  <c:v>14</c:v>
                </c:pt>
                <c:pt idx="62">
                  <c:v>12</c:v>
                </c:pt>
                <c:pt idx="63">
                  <c:v>12</c:v>
                </c:pt>
                <c:pt idx="64">
                  <c:v>15</c:v>
                </c:pt>
                <c:pt idx="65">
                  <c:v>6</c:v>
                </c:pt>
                <c:pt idx="66">
                  <c:v>16</c:v>
                </c:pt>
                <c:pt idx="67">
                  <c:v>14</c:v>
                </c:pt>
                <c:pt idx="68">
                  <c:v>15</c:v>
                </c:pt>
                <c:pt idx="69">
                  <c:v>15</c:v>
                </c:pt>
                <c:pt idx="70">
                  <c:v>13</c:v>
                </c:pt>
                <c:pt idx="71">
                  <c:v>19</c:v>
                </c:pt>
                <c:pt idx="72">
                  <c:v>13</c:v>
                </c:pt>
                <c:pt idx="73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F11-4F27-BC61-D589C481E3C6}"/>
            </c:ext>
          </c:extLst>
        </c:ser>
        <c:ser>
          <c:idx val="3"/>
          <c:order val="3"/>
          <c:tx>
            <c:v>Среднее по группе</c:v>
          </c:tx>
          <c:spPr>
            <a:ln w="31750">
              <a:solidFill>
                <a:srgbClr val="D83E50"/>
              </a:solidFill>
              <a:prstDash val="solid"/>
            </a:ln>
          </c:spPr>
          <c:marker>
            <c:symbol val="diamond"/>
            <c:size val="9"/>
            <c:spPr>
              <a:solidFill>
                <a:srgbClr val="D83E50"/>
              </a:solidFill>
              <a:ln>
                <a:noFill/>
                <a:prstDash val="solid"/>
              </a:ln>
            </c:spPr>
          </c:marker>
          <c:xVal>
            <c:numRef>
              <c:f>Расчёты_графиков!$E$550:$I$550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Расчёты_графиков!$E$552:$I$552</c:f>
              <c:numCache>
                <c:formatCode>0.00</c:formatCode>
                <c:ptCount val="5"/>
                <c:pt idx="0">
                  <c:v>17.714285714285715</c:v>
                </c:pt>
                <c:pt idx="1">
                  <c:v>17.25</c:v>
                </c:pt>
                <c:pt idx="2">
                  <c:v>16.36</c:v>
                </c:pt>
                <c:pt idx="3">
                  <c:v>14.583333333333334</c:v>
                </c:pt>
                <c:pt idx="4">
                  <c:v>12.666666666666666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F11-4F27-BC61-D589C481E3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ax val="6"/>
          <c:min val="0"/>
        </c:scaling>
        <c:delete val="0"/>
        <c:axPos val="b"/>
        <c:title>
          <c:tx>
            <c:strRef>
              <c:f>Спирман_графики!$D$72</c:f>
              <c:strCache>
                <c:ptCount val="1"/>
                <c:pt idx="0">
                  <c:v>Л1</c:v>
                </c:pt>
              </c:strCache>
            </c:strRef>
          </c:tx>
          <c:overlay val="0"/>
          <c:txPr>
            <a:bodyPr/>
            <a:lstStyle/>
            <a:p>
              <a:pPr>
                <a:defRPr sz="1100" b="1">
                  <a:solidFill>
                    <a:srgbClr val="263746"/>
                  </a:solidFill>
                  <a:latin typeface="Arial"/>
                </a:defRPr>
              </a:pPr>
              <a:endParaRPr lang="ru-RU"/>
            </a:p>
          </c:txPr>
        </c:title>
        <c:numFmt formatCode="[&lt;1]&quot;&quot;;[&gt;5]&quot;&quot;;0" sourceLinked="0"/>
        <c:majorTickMark val="out"/>
        <c:minorTickMark val="none"/>
        <c:tickLblPos val="low"/>
        <c:spPr>
          <a:ln w="9525">
            <a:solidFill>
              <a:srgbClr val="263746"/>
            </a:solidFill>
            <a:prstDash val="solid"/>
          </a:ln>
        </c:spPr>
        <c:txPr>
          <a:bodyPr/>
          <a:lstStyle/>
          <a:p>
            <a:pPr>
              <a:defRPr sz="1000" b="0">
                <a:solidFill>
                  <a:srgbClr val="263746"/>
                </a:solidFill>
                <a:latin typeface="Arial"/>
              </a:defRPr>
            </a:pPr>
            <a:endParaRPr lang="ru-RU"/>
          </a:p>
        </c:txPr>
        <c:crossAx val="20"/>
        <c:crosses val="autoZero"/>
        <c:crossBetween val="midCat"/>
        <c:majorUnit val="1"/>
      </c:valAx>
      <c:valAx>
        <c:axId val="20"/>
        <c:scaling>
          <c:orientation val="minMax"/>
          <c:max val="30"/>
          <c:min val="0"/>
        </c:scaling>
        <c:delete val="0"/>
        <c:axPos val="l"/>
        <c:majorGridlines>
          <c:spPr>
            <a:ln w="6350">
              <a:solidFill>
                <a:srgbClr val="E4E9EC"/>
              </a:solidFill>
              <a:prstDash val="solid"/>
            </a:ln>
          </c:spPr>
        </c:majorGridlines>
        <c:title>
          <c:tx>
            <c:strRef>
              <c:f>Спирман_графики!$J$72</c:f>
              <c:strCache>
                <c:ptCount val="1"/>
                <c:pt idx="0">
                  <c:v>К3</c:v>
                </c:pt>
              </c:strCache>
            </c:strRef>
          </c:tx>
          <c:overlay val="0"/>
          <c:txPr>
            <a:bodyPr/>
            <a:lstStyle/>
            <a:p>
              <a:pPr>
                <a:defRPr sz="1100" b="1">
                  <a:solidFill>
                    <a:srgbClr val="263746"/>
                  </a:solidFill>
                  <a:latin typeface="Arial"/>
                </a:defRPr>
              </a:pPr>
              <a:endParaRPr lang="ru-RU"/>
            </a:p>
          </c:txPr>
        </c:title>
        <c:numFmt formatCode="0" sourceLinked="0"/>
        <c:majorTickMark val="out"/>
        <c:minorTickMark val="none"/>
        <c:tickLblPos val="low"/>
        <c:spPr>
          <a:ln w="9525">
            <a:solidFill>
              <a:srgbClr val="263746"/>
            </a:solidFill>
            <a:prstDash val="solid"/>
          </a:ln>
        </c:spPr>
        <c:txPr>
          <a:bodyPr/>
          <a:lstStyle/>
          <a:p>
            <a:pPr>
              <a:defRPr sz="1000" b="0">
                <a:solidFill>
                  <a:srgbClr val="263746"/>
                </a:solidFill>
                <a:latin typeface="Arial"/>
              </a:defRPr>
            </a:pPr>
            <a:endParaRPr lang="ru-RU"/>
          </a:p>
        </c:txPr>
        <c:crossAx val="10"/>
        <c:crosses val="autoZero"/>
        <c:crossBetween val="midCat"/>
        <c:majorUnit val="5"/>
      </c:valAx>
      <c:spPr>
        <a:solidFill>
          <a:srgbClr val="FFFFFF"/>
        </a:solidFill>
        <a:ln>
          <a:prstDash val="solid"/>
        </a:ln>
      </c:spPr>
    </c:plotArea>
    <c:legend>
      <c:legendPos val="b"/>
      <c:overlay val="0"/>
      <c:txPr>
        <a:bodyPr/>
        <a:lstStyle/>
        <a:p>
          <a:pPr>
            <a:defRPr sz="950" b="0">
              <a:solidFill>
                <a:srgbClr val="263746"/>
              </a:solidFill>
              <a:latin typeface="Arial"/>
            </a:defRPr>
          </a:pPr>
          <a:endParaRPr lang="ru-RU"/>
        </a:p>
      </c:txPr>
    </c:legend>
    <c:plotVisOnly val="1"/>
    <c:dispBlanksAs val="gap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strRef>
          <c:f>Расчёты_графиков!$B$795</c:f>
          <c:strCache>
            <c:ptCount val="1"/>
            <c:pt idx="0">
              <c:v>ТК1 в зависимости от Л1
ρ = −0,253; p = 0,0294; n = 74</c:v>
            </c:pt>
          </c:strCache>
        </c:strRef>
      </c:tx>
      <c:overlay val="0"/>
      <c:txPr>
        <a:bodyPr/>
        <a:lstStyle/>
        <a:p>
          <a:pPr>
            <a:defRPr sz="1200" b="0">
              <a:solidFill>
                <a:srgbClr val="263746"/>
              </a:solidFill>
              <a:latin typeface="Arial"/>
            </a:defRPr>
          </a:pPr>
          <a:endParaRPr lang="ru-RU"/>
        </a:p>
      </c:txPr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Межквартильный размах и усы</c:v>
          </c:tx>
          <c:spPr>
            <a:ln w="22860">
              <a:solidFill>
                <a:srgbClr val="326A8D"/>
              </a:solidFill>
              <a:prstDash val="solid"/>
            </a:ln>
          </c:spPr>
          <c:marker>
            <c:symbol val="none"/>
          </c:marker>
          <c:xVal>
            <c:numRef>
              <c:f>Расчёты_графиков!$A$800:$A$893</c:f>
              <c:numCache>
                <c:formatCode>General</c:formatCode>
                <c:ptCount val="94"/>
                <c:pt idx="0">
                  <c:v>0.75</c:v>
                </c:pt>
                <c:pt idx="1">
                  <c:v>1.25</c:v>
                </c:pt>
                <c:pt idx="2">
                  <c:v>1.25</c:v>
                </c:pt>
                <c:pt idx="3">
                  <c:v>0.75</c:v>
                </c:pt>
                <c:pt idx="4">
                  <c:v>0.75</c:v>
                </c:pt>
                <c:pt idx="6">
                  <c:v>0.75</c:v>
                </c:pt>
                <c:pt idx="7">
                  <c:v>1.25</c:v>
                </c:pt>
                <c:pt idx="9">
                  <c:v>0.87</c:v>
                </c:pt>
                <c:pt idx="10">
                  <c:v>1.1299999999999999</c:v>
                </c:pt>
                <c:pt idx="11">
                  <c:v>1</c:v>
                </c:pt>
                <c:pt idx="12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0.87</c:v>
                </c:pt>
                <c:pt idx="17">
                  <c:v>1.1299999999999999</c:v>
                </c:pt>
                <c:pt idx="19">
                  <c:v>1.75</c:v>
                </c:pt>
                <c:pt idx="20">
                  <c:v>2.25</c:v>
                </c:pt>
                <c:pt idx="21">
                  <c:v>2.25</c:v>
                </c:pt>
                <c:pt idx="22">
                  <c:v>1.75</c:v>
                </c:pt>
                <c:pt idx="23">
                  <c:v>1.75</c:v>
                </c:pt>
                <c:pt idx="25">
                  <c:v>1.75</c:v>
                </c:pt>
                <c:pt idx="26">
                  <c:v>2.25</c:v>
                </c:pt>
                <c:pt idx="28">
                  <c:v>1.87</c:v>
                </c:pt>
                <c:pt idx="29">
                  <c:v>2.13</c:v>
                </c:pt>
                <c:pt idx="30">
                  <c:v>2</c:v>
                </c:pt>
                <c:pt idx="31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1.87</c:v>
                </c:pt>
                <c:pt idx="36">
                  <c:v>2.13</c:v>
                </c:pt>
                <c:pt idx="38">
                  <c:v>2.75</c:v>
                </c:pt>
                <c:pt idx="39">
                  <c:v>3.25</c:v>
                </c:pt>
                <c:pt idx="40">
                  <c:v>3.25</c:v>
                </c:pt>
                <c:pt idx="41">
                  <c:v>2.75</c:v>
                </c:pt>
                <c:pt idx="42">
                  <c:v>2.75</c:v>
                </c:pt>
                <c:pt idx="44">
                  <c:v>2.75</c:v>
                </c:pt>
                <c:pt idx="45">
                  <c:v>3.25</c:v>
                </c:pt>
                <c:pt idx="47">
                  <c:v>2.87</c:v>
                </c:pt>
                <c:pt idx="48">
                  <c:v>3.13</c:v>
                </c:pt>
                <c:pt idx="49">
                  <c:v>3</c:v>
                </c:pt>
                <c:pt idx="50">
                  <c:v>3</c:v>
                </c:pt>
                <c:pt idx="52">
                  <c:v>3</c:v>
                </c:pt>
                <c:pt idx="53">
                  <c:v>3</c:v>
                </c:pt>
                <c:pt idx="54">
                  <c:v>2.87</c:v>
                </c:pt>
                <c:pt idx="55">
                  <c:v>3.13</c:v>
                </c:pt>
                <c:pt idx="57">
                  <c:v>3.75</c:v>
                </c:pt>
                <c:pt idx="58">
                  <c:v>4.25</c:v>
                </c:pt>
                <c:pt idx="59">
                  <c:v>4.25</c:v>
                </c:pt>
                <c:pt idx="60">
                  <c:v>3.75</c:v>
                </c:pt>
                <c:pt idx="61">
                  <c:v>3.75</c:v>
                </c:pt>
                <c:pt idx="63">
                  <c:v>3.75</c:v>
                </c:pt>
                <c:pt idx="64">
                  <c:v>4.25</c:v>
                </c:pt>
                <c:pt idx="66">
                  <c:v>3.87</c:v>
                </c:pt>
                <c:pt idx="67">
                  <c:v>4.13</c:v>
                </c:pt>
                <c:pt idx="68">
                  <c:v>4</c:v>
                </c:pt>
                <c:pt idx="69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3.87</c:v>
                </c:pt>
                <c:pt idx="74">
                  <c:v>4.13</c:v>
                </c:pt>
                <c:pt idx="76">
                  <c:v>4.75</c:v>
                </c:pt>
                <c:pt idx="77">
                  <c:v>5.25</c:v>
                </c:pt>
                <c:pt idx="78">
                  <c:v>5.25</c:v>
                </c:pt>
                <c:pt idx="79">
                  <c:v>4.75</c:v>
                </c:pt>
                <c:pt idx="80">
                  <c:v>4.75</c:v>
                </c:pt>
                <c:pt idx="82">
                  <c:v>4.75</c:v>
                </c:pt>
                <c:pt idx="83">
                  <c:v>5.25</c:v>
                </c:pt>
                <c:pt idx="85">
                  <c:v>4.87</c:v>
                </c:pt>
                <c:pt idx="86">
                  <c:v>5.13</c:v>
                </c:pt>
                <c:pt idx="87">
                  <c:v>5</c:v>
                </c:pt>
                <c:pt idx="88">
                  <c:v>5</c:v>
                </c:pt>
                <c:pt idx="90">
                  <c:v>5</c:v>
                </c:pt>
                <c:pt idx="91">
                  <c:v>5</c:v>
                </c:pt>
                <c:pt idx="92">
                  <c:v>4.87</c:v>
                </c:pt>
                <c:pt idx="93">
                  <c:v>5.13</c:v>
                </c:pt>
              </c:numCache>
            </c:numRef>
          </c:xVal>
          <c:yVal>
            <c:numRef>
              <c:f>Расчёты_графиков!$B$800:$B$893</c:f>
              <c:numCache>
                <c:formatCode>General</c:formatCode>
                <c:ptCount val="94"/>
                <c:pt idx="0">
                  <c:v>6</c:v>
                </c:pt>
                <c:pt idx="1">
                  <c:v>6</c:v>
                </c:pt>
                <c:pt idx="2">
                  <c:v>7</c:v>
                </c:pt>
                <c:pt idx="3">
                  <c:v>7</c:v>
                </c:pt>
                <c:pt idx="4">
                  <c:v>6</c:v>
                </c:pt>
                <c:pt idx="6">
                  <c:v>7</c:v>
                </c:pt>
                <c:pt idx="7">
                  <c:v>7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4">
                  <c:v>7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9">
                  <c:v>5</c:v>
                </c:pt>
                <c:pt idx="20">
                  <c:v>5</c:v>
                </c:pt>
                <c:pt idx="21">
                  <c:v>7</c:v>
                </c:pt>
                <c:pt idx="22">
                  <c:v>7</c:v>
                </c:pt>
                <c:pt idx="23">
                  <c:v>5</c:v>
                </c:pt>
                <c:pt idx="25">
                  <c:v>6</c:v>
                </c:pt>
                <c:pt idx="26">
                  <c:v>6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  <c:pt idx="31">
                  <c:v>5</c:v>
                </c:pt>
                <c:pt idx="33">
                  <c:v>7</c:v>
                </c:pt>
                <c:pt idx="34">
                  <c:v>8</c:v>
                </c:pt>
                <c:pt idx="35">
                  <c:v>8</c:v>
                </c:pt>
                <c:pt idx="36">
                  <c:v>8</c:v>
                </c:pt>
                <c:pt idx="38">
                  <c:v>5</c:v>
                </c:pt>
                <c:pt idx="39">
                  <c:v>5</c:v>
                </c:pt>
                <c:pt idx="40">
                  <c:v>7</c:v>
                </c:pt>
                <c:pt idx="41">
                  <c:v>7</c:v>
                </c:pt>
                <c:pt idx="42">
                  <c:v>5</c:v>
                </c:pt>
                <c:pt idx="44">
                  <c:v>6</c:v>
                </c:pt>
                <c:pt idx="45">
                  <c:v>6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5</c:v>
                </c:pt>
                <c:pt idx="52">
                  <c:v>7</c:v>
                </c:pt>
                <c:pt idx="53">
                  <c:v>9</c:v>
                </c:pt>
                <c:pt idx="54">
                  <c:v>9</c:v>
                </c:pt>
                <c:pt idx="55">
                  <c:v>9</c:v>
                </c:pt>
                <c:pt idx="57">
                  <c:v>5</c:v>
                </c:pt>
                <c:pt idx="58">
                  <c:v>5</c:v>
                </c:pt>
                <c:pt idx="59">
                  <c:v>6</c:v>
                </c:pt>
                <c:pt idx="60">
                  <c:v>6</c:v>
                </c:pt>
                <c:pt idx="61">
                  <c:v>5</c:v>
                </c:pt>
                <c:pt idx="63">
                  <c:v>5</c:v>
                </c:pt>
                <c:pt idx="64">
                  <c:v>5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5</c:v>
                </c:pt>
                <c:pt idx="71">
                  <c:v>6</c:v>
                </c:pt>
                <c:pt idx="72">
                  <c:v>7</c:v>
                </c:pt>
                <c:pt idx="73">
                  <c:v>7</c:v>
                </c:pt>
                <c:pt idx="74">
                  <c:v>7</c:v>
                </c:pt>
                <c:pt idx="76">
                  <c:v>3.5</c:v>
                </c:pt>
                <c:pt idx="77">
                  <c:v>3.5</c:v>
                </c:pt>
                <c:pt idx="78">
                  <c:v>5.75</c:v>
                </c:pt>
                <c:pt idx="79">
                  <c:v>5.75</c:v>
                </c:pt>
                <c:pt idx="80">
                  <c:v>3.5</c:v>
                </c:pt>
                <c:pt idx="82">
                  <c:v>5</c:v>
                </c:pt>
                <c:pt idx="83">
                  <c:v>5</c:v>
                </c:pt>
                <c:pt idx="85">
                  <c:v>2</c:v>
                </c:pt>
                <c:pt idx="86">
                  <c:v>2</c:v>
                </c:pt>
                <c:pt idx="87">
                  <c:v>2</c:v>
                </c:pt>
                <c:pt idx="88">
                  <c:v>3.5</c:v>
                </c:pt>
                <c:pt idx="90">
                  <c:v>5.75</c:v>
                </c:pt>
                <c:pt idx="91">
                  <c:v>7</c:v>
                </c:pt>
                <c:pt idx="92">
                  <c:v>7</c:v>
                </c:pt>
                <c:pt idx="93">
                  <c:v>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1C6-4951-9814-0A8787104108}"/>
            </c:ext>
          </c:extLst>
        </c:ser>
        <c:ser>
          <c:idx val="1"/>
          <c:order val="1"/>
          <c:tx>
            <c:v>Медиана</c:v>
          </c:tx>
          <c:spPr>
            <a:ln w="31750">
              <a:solidFill>
                <a:srgbClr val="203D66"/>
              </a:solidFill>
              <a:prstDash val="solid"/>
            </a:ln>
          </c:spPr>
          <c:marker>
            <c:symbol val="none"/>
          </c:marker>
          <c:xVal>
            <c:numRef>
              <c:f>Расчёты_графиков!$U$800:$U$813</c:f>
              <c:numCache>
                <c:formatCode>General</c:formatCode>
                <c:ptCount val="14"/>
                <c:pt idx="0">
                  <c:v>0.75</c:v>
                </c:pt>
                <c:pt idx="1">
                  <c:v>1.25</c:v>
                </c:pt>
                <c:pt idx="3">
                  <c:v>1.75</c:v>
                </c:pt>
                <c:pt idx="4">
                  <c:v>2.25</c:v>
                </c:pt>
                <c:pt idx="6">
                  <c:v>2.75</c:v>
                </c:pt>
                <c:pt idx="7">
                  <c:v>3.25</c:v>
                </c:pt>
                <c:pt idx="9">
                  <c:v>3.75</c:v>
                </c:pt>
                <c:pt idx="10">
                  <c:v>4.25</c:v>
                </c:pt>
                <c:pt idx="12">
                  <c:v>4.75</c:v>
                </c:pt>
                <c:pt idx="13">
                  <c:v>5.25</c:v>
                </c:pt>
              </c:numCache>
            </c:numRef>
          </c:xVal>
          <c:yVal>
            <c:numRef>
              <c:f>Расчёты_графиков!$V$800:$V$813</c:f>
              <c:numCache>
                <c:formatCode>General</c:formatCode>
                <c:ptCount val="14"/>
                <c:pt idx="0">
                  <c:v>7</c:v>
                </c:pt>
                <c:pt idx="1">
                  <c:v>7</c:v>
                </c:pt>
                <c:pt idx="3">
                  <c:v>6</c:v>
                </c:pt>
                <c:pt idx="4">
                  <c:v>6</c:v>
                </c:pt>
                <c:pt idx="6">
                  <c:v>6</c:v>
                </c:pt>
                <c:pt idx="7">
                  <c:v>6</c:v>
                </c:pt>
                <c:pt idx="9">
                  <c:v>5</c:v>
                </c:pt>
                <c:pt idx="10">
                  <c:v>5</c:v>
                </c:pt>
                <c:pt idx="12">
                  <c:v>5</c:v>
                </c:pt>
                <c:pt idx="13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1C6-4951-9814-0A8787104108}"/>
            </c:ext>
          </c:extLst>
        </c:ser>
        <c:ser>
          <c:idx val="2"/>
          <c:order val="2"/>
          <c:tx>
            <c:v>Наблюдения</c:v>
          </c:tx>
          <c:spPr>
            <a:ln>
              <a:noFill/>
              <a:prstDash val="solid"/>
            </a:ln>
          </c:spPr>
          <c:marker>
            <c:symbol val="circle"/>
            <c:size val="5"/>
            <c:spPr>
              <a:solidFill>
                <a:srgbClr val="83969E"/>
              </a:solidFill>
              <a:ln>
                <a:noFill/>
                <a:prstDash val="solid"/>
              </a:ln>
            </c:spPr>
          </c:marker>
          <c:xVal>
            <c:numRef>
              <c:f>Расчёты_графиков!$O$702:$O$775</c:f>
              <c:numCache>
                <c:formatCode>General</c:formatCode>
                <c:ptCount val="74"/>
                <c:pt idx="0">
                  <c:v>0.89500000000000002</c:v>
                </c:pt>
                <c:pt idx="1">
                  <c:v>1.895</c:v>
                </c:pt>
                <c:pt idx="2">
                  <c:v>1.895</c:v>
                </c:pt>
                <c:pt idx="3">
                  <c:v>1.895</c:v>
                </c:pt>
                <c:pt idx="4">
                  <c:v>0.89500000000000002</c:v>
                </c:pt>
                <c:pt idx="5">
                  <c:v>0.89500000000000002</c:v>
                </c:pt>
                <c:pt idx="6">
                  <c:v>0.92999999999999994</c:v>
                </c:pt>
                <c:pt idx="7">
                  <c:v>1.93</c:v>
                </c:pt>
                <c:pt idx="8">
                  <c:v>1.93</c:v>
                </c:pt>
                <c:pt idx="9">
                  <c:v>0.89500000000000002</c:v>
                </c:pt>
                <c:pt idx="10">
                  <c:v>1.895</c:v>
                </c:pt>
                <c:pt idx="11">
                  <c:v>0.96499999999999997</c:v>
                </c:pt>
                <c:pt idx="12">
                  <c:v>0.92999999999999994</c:v>
                </c:pt>
                <c:pt idx="13">
                  <c:v>1.93</c:v>
                </c:pt>
                <c:pt idx="14">
                  <c:v>1.93</c:v>
                </c:pt>
                <c:pt idx="15">
                  <c:v>1.895</c:v>
                </c:pt>
                <c:pt idx="16">
                  <c:v>1.9650000000000001</c:v>
                </c:pt>
                <c:pt idx="17">
                  <c:v>1.9650000000000001</c:v>
                </c:pt>
                <c:pt idx="18">
                  <c:v>1.93</c:v>
                </c:pt>
                <c:pt idx="19">
                  <c:v>3.895</c:v>
                </c:pt>
                <c:pt idx="20">
                  <c:v>2.895</c:v>
                </c:pt>
                <c:pt idx="21">
                  <c:v>2.895</c:v>
                </c:pt>
                <c:pt idx="22">
                  <c:v>2.93</c:v>
                </c:pt>
                <c:pt idx="23">
                  <c:v>2.895</c:v>
                </c:pt>
                <c:pt idx="24">
                  <c:v>2.895</c:v>
                </c:pt>
                <c:pt idx="25">
                  <c:v>2.9649999999999999</c:v>
                </c:pt>
                <c:pt idx="26">
                  <c:v>2.93</c:v>
                </c:pt>
                <c:pt idx="27">
                  <c:v>2.895</c:v>
                </c:pt>
                <c:pt idx="28">
                  <c:v>2.895</c:v>
                </c:pt>
                <c:pt idx="29">
                  <c:v>3.895</c:v>
                </c:pt>
                <c:pt idx="30">
                  <c:v>2.93</c:v>
                </c:pt>
                <c:pt idx="31">
                  <c:v>2.9649999999999999</c:v>
                </c:pt>
                <c:pt idx="32">
                  <c:v>3</c:v>
                </c:pt>
                <c:pt idx="33">
                  <c:v>2.895</c:v>
                </c:pt>
                <c:pt idx="34">
                  <c:v>3.895</c:v>
                </c:pt>
                <c:pt idx="35">
                  <c:v>2.93</c:v>
                </c:pt>
                <c:pt idx="36">
                  <c:v>2.895</c:v>
                </c:pt>
                <c:pt idx="37">
                  <c:v>3.895</c:v>
                </c:pt>
                <c:pt idx="38">
                  <c:v>2.93</c:v>
                </c:pt>
                <c:pt idx="39">
                  <c:v>3.93</c:v>
                </c:pt>
                <c:pt idx="40">
                  <c:v>3</c:v>
                </c:pt>
                <c:pt idx="41">
                  <c:v>3.895</c:v>
                </c:pt>
                <c:pt idx="42">
                  <c:v>2.9649999999999999</c:v>
                </c:pt>
                <c:pt idx="43">
                  <c:v>3.0350000000000001</c:v>
                </c:pt>
                <c:pt idx="44">
                  <c:v>3.9649999999999999</c:v>
                </c:pt>
                <c:pt idx="45">
                  <c:v>3.0350000000000001</c:v>
                </c:pt>
                <c:pt idx="46">
                  <c:v>3.895</c:v>
                </c:pt>
                <c:pt idx="47">
                  <c:v>3.07</c:v>
                </c:pt>
                <c:pt idx="48">
                  <c:v>2.93</c:v>
                </c:pt>
                <c:pt idx="49">
                  <c:v>2.9649999999999999</c:v>
                </c:pt>
                <c:pt idx="50">
                  <c:v>3</c:v>
                </c:pt>
                <c:pt idx="51">
                  <c:v>3.93</c:v>
                </c:pt>
                <c:pt idx="52">
                  <c:v>3.07</c:v>
                </c:pt>
                <c:pt idx="53">
                  <c:v>3.93</c:v>
                </c:pt>
                <c:pt idx="54">
                  <c:v>3.93</c:v>
                </c:pt>
                <c:pt idx="55">
                  <c:v>3.895</c:v>
                </c:pt>
                <c:pt idx="56">
                  <c:v>3.9649999999999999</c:v>
                </c:pt>
                <c:pt idx="57">
                  <c:v>4</c:v>
                </c:pt>
                <c:pt idx="58">
                  <c:v>4.0350000000000001</c:v>
                </c:pt>
                <c:pt idx="59">
                  <c:v>4.8949999999999996</c:v>
                </c:pt>
                <c:pt idx="60">
                  <c:v>4</c:v>
                </c:pt>
                <c:pt idx="61">
                  <c:v>4.0350000000000001</c:v>
                </c:pt>
                <c:pt idx="62">
                  <c:v>4.07</c:v>
                </c:pt>
                <c:pt idx="63">
                  <c:v>4.07</c:v>
                </c:pt>
                <c:pt idx="64">
                  <c:v>4.1050000000000004</c:v>
                </c:pt>
                <c:pt idx="65">
                  <c:v>4.8949999999999996</c:v>
                </c:pt>
                <c:pt idx="66">
                  <c:v>4.8949999999999996</c:v>
                </c:pt>
                <c:pt idx="67">
                  <c:v>3.895</c:v>
                </c:pt>
                <c:pt idx="68">
                  <c:v>3.93</c:v>
                </c:pt>
                <c:pt idx="69">
                  <c:v>4.8949999999999996</c:v>
                </c:pt>
                <c:pt idx="70">
                  <c:v>4.8949999999999996</c:v>
                </c:pt>
                <c:pt idx="71">
                  <c:v>4.93</c:v>
                </c:pt>
                <c:pt idx="72">
                  <c:v>3.895</c:v>
                </c:pt>
                <c:pt idx="73">
                  <c:v>3.93</c:v>
                </c:pt>
              </c:numCache>
            </c:numRef>
          </c:xVal>
          <c:yVal>
            <c:numRef>
              <c:f>Расчёты_графиков!$P$702:$P$775</c:f>
              <c:numCache>
                <c:formatCode>General</c:formatCode>
                <c:ptCount val="74"/>
                <c:pt idx="0">
                  <c:v>7</c:v>
                </c:pt>
                <c:pt idx="1">
                  <c:v>5</c:v>
                </c:pt>
                <c:pt idx="2">
                  <c:v>3</c:v>
                </c:pt>
                <c:pt idx="3">
                  <c:v>6</c:v>
                </c:pt>
                <c:pt idx="4">
                  <c:v>3</c:v>
                </c:pt>
                <c:pt idx="5">
                  <c:v>6</c:v>
                </c:pt>
                <c:pt idx="6">
                  <c:v>7</c:v>
                </c:pt>
                <c:pt idx="7">
                  <c:v>3</c:v>
                </c:pt>
                <c:pt idx="8">
                  <c:v>6</c:v>
                </c:pt>
                <c:pt idx="9">
                  <c:v>8</c:v>
                </c:pt>
                <c:pt idx="10">
                  <c:v>7</c:v>
                </c:pt>
                <c:pt idx="11">
                  <c:v>7</c:v>
                </c:pt>
                <c:pt idx="12">
                  <c:v>6</c:v>
                </c:pt>
                <c:pt idx="13">
                  <c:v>5</c:v>
                </c:pt>
                <c:pt idx="14">
                  <c:v>7</c:v>
                </c:pt>
                <c:pt idx="15">
                  <c:v>8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5</c:v>
                </c:pt>
                <c:pt idx="20">
                  <c:v>6</c:v>
                </c:pt>
                <c:pt idx="21">
                  <c:v>5</c:v>
                </c:pt>
                <c:pt idx="22">
                  <c:v>6</c:v>
                </c:pt>
                <c:pt idx="23">
                  <c:v>8</c:v>
                </c:pt>
                <c:pt idx="24">
                  <c:v>2</c:v>
                </c:pt>
                <c:pt idx="25">
                  <c:v>6</c:v>
                </c:pt>
                <c:pt idx="26">
                  <c:v>5</c:v>
                </c:pt>
                <c:pt idx="27">
                  <c:v>7</c:v>
                </c:pt>
                <c:pt idx="28">
                  <c:v>9</c:v>
                </c:pt>
                <c:pt idx="29">
                  <c:v>6</c:v>
                </c:pt>
                <c:pt idx="30">
                  <c:v>7</c:v>
                </c:pt>
                <c:pt idx="31">
                  <c:v>5</c:v>
                </c:pt>
                <c:pt idx="32">
                  <c:v>6</c:v>
                </c:pt>
                <c:pt idx="33">
                  <c:v>3</c:v>
                </c:pt>
                <c:pt idx="34">
                  <c:v>7</c:v>
                </c:pt>
                <c:pt idx="35">
                  <c:v>2</c:v>
                </c:pt>
                <c:pt idx="36">
                  <c:v>4</c:v>
                </c:pt>
                <c:pt idx="37">
                  <c:v>2</c:v>
                </c:pt>
                <c:pt idx="38">
                  <c:v>8</c:v>
                </c:pt>
                <c:pt idx="39">
                  <c:v>6</c:v>
                </c:pt>
                <c:pt idx="40">
                  <c:v>5</c:v>
                </c:pt>
                <c:pt idx="41">
                  <c:v>3</c:v>
                </c:pt>
                <c:pt idx="42">
                  <c:v>8</c:v>
                </c:pt>
                <c:pt idx="43">
                  <c:v>6</c:v>
                </c:pt>
                <c:pt idx="44">
                  <c:v>6</c:v>
                </c:pt>
                <c:pt idx="45">
                  <c:v>5</c:v>
                </c:pt>
                <c:pt idx="46">
                  <c:v>8</c:v>
                </c:pt>
                <c:pt idx="47">
                  <c:v>6</c:v>
                </c:pt>
                <c:pt idx="48">
                  <c:v>3</c:v>
                </c:pt>
                <c:pt idx="49">
                  <c:v>7</c:v>
                </c:pt>
                <c:pt idx="50">
                  <c:v>8</c:v>
                </c:pt>
                <c:pt idx="51">
                  <c:v>3</c:v>
                </c:pt>
                <c:pt idx="52">
                  <c:v>5</c:v>
                </c:pt>
                <c:pt idx="53">
                  <c:v>5</c:v>
                </c:pt>
                <c:pt idx="54">
                  <c:v>8</c:v>
                </c:pt>
                <c:pt idx="55">
                  <c:v>9</c:v>
                </c:pt>
                <c:pt idx="56">
                  <c:v>5</c:v>
                </c:pt>
                <c:pt idx="57">
                  <c:v>5</c:v>
                </c:pt>
                <c:pt idx="58">
                  <c:v>5</c:v>
                </c:pt>
                <c:pt idx="59">
                  <c:v>2</c:v>
                </c:pt>
                <c:pt idx="60">
                  <c:v>6</c:v>
                </c:pt>
                <c:pt idx="61">
                  <c:v>6</c:v>
                </c:pt>
                <c:pt idx="62">
                  <c:v>5</c:v>
                </c:pt>
                <c:pt idx="63">
                  <c:v>6</c:v>
                </c:pt>
                <c:pt idx="64">
                  <c:v>5</c:v>
                </c:pt>
                <c:pt idx="65">
                  <c:v>3</c:v>
                </c:pt>
                <c:pt idx="66">
                  <c:v>7</c:v>
                </c:pt>
                <c:pt idx="67">
                  <c:v>4</c:v>
                </c:pt>
                <c:pt idx="68">
                  <c:v>4</c:v>
                </c:pt>
                <c:pt idx="69">
                  <c:v>6</c:v>
                </c:pt>
                <c:pt idx="70">
                  <c:v>5</c:v>
                </c:pt>
                <c:pt idx="71">
                  <c:v>5</c:v>
                </c:pt>
                <c:pt idx="72">
                  <c:v>5</c:v>
                </c:pt>
                <c:pt idx="73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1C6-4951-9814-0A8787104108}"/>
            </c:ext>
          </c:extLst>
        </c:ser>
        <c:ser>
          <c:idx val="3"/>
          <c:order val="3"/>
          <c:tx>
            <c:v>Среднее по группе</c:v>
          </c:tx>
          <c:spPr>
            <a:ln w="31750">
              <a:solidFill>
                <a:srgbClr val="D83E50"/>
              </a:solidFill>
              <a:prstDash val="solid"/>
            </a:ln>
          </c:spPr>
          <c:marker>
            <c:symbol val="diamond"/>
            <c:size val="9"/>
            <c:spPr>
              <a:solidFill>
                <a:srgbClr val="D83E50"/>
              </a:solidFill>
              <a:ln>
                <a:noFill/>
                <a:prstDash val="solid"/>
              </a:ln>
            </c:spPr>
          </c:marker>
          <c:xVal>
            <c:numRef>
              <c:f>Расчёты_графиков!$E$780:$I$780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Расчёты_графиков!$E$782:$I$782</c:f>
              <c:numCache>
                <c:formatCode>0.00</c:formatCode>
                <c:ptCount val="5"/>
                <c:pt idx="0">
                  <c:v>6.2857142857142856</c:v>
                </c:pt>
                <c:pt idx="1">
                  <c:v>5.916666666666667</c:v>
                </c:pt>
                <c:pt idx="2">
                  <c:v>5.68</c:v>
                </c:pt>
                <c:pt idx="3">
                  <c:v>5.375</c:v>
                </c:pt>
                <c:pt idx="4">
                  <c:v>4.666666666666667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1C6-4951-9814-0A8787104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ax val="6"/>
          <c:min val="0"/>
        </c:scaling>
        <c:delete val="0"/>
        <c:axPos val="b"/>
        <c:title>
          <c:tx>
            <c:strRef>
              <c:f>Спирман_графики!$D$104</c:f>
              <c:strCache>
                <c:ptCount val="1"/>
                <c:pt idx="0">
                  <c:v>Л1</c:v>
                </c:pt>
              </c:strCache>
            </c:strRef>
          </c:tx>
          <c:overlay val="0"/>
          <c:txPr>
            <a:bodyPr/>
            <a:lstStyle/>
            <a:p>
              <a:pPr>
                <a:defRPr sz="1100" b="1">
                  <a:solidFill>
                    <a:srgbClr val="263746"/>
                  </a:solidFill>
                  <a:latin typeface="Arial"/>
                </a:defRPr>
              </a:pPr>
              <a:endParaRPr lang="ru-RU"/>
            </a:p>
          </c:txPr>
        </c:title>
        <c:numFmt formatCode="[&lt;1]&quot;&quot;;[&gt;5]&quot;&quot;;0" sourceLinked="0"/>
        <c:majorTickMark val="out"/>
        <c:minorTickMark val="none"/>
        <c:tickLblPos val="low"/>
        <c:spPr>
          <a:ln w="9525">
            <a:solidFill>
              <a:srgbClr val="263746"/>
            </a:solidFill>
            <a:prstDash val="solid"/>
          </a:ln>
        </c:spPr>
        <c:txPr>
          <a:bodyPr/>
          <a:lstStyle/>
          <a:p>
            <a:pPr>
              <a:defRPr sz="1000" b="0">
                <a:solidFill>
                  <a:srgbClr val="263746"/>
                </a:solidFill>
                <a:latin typeface="Arial"/>
              </a:defRPr>
            </a:pPr>
            <a:endParaRPr lang="ru-RU"/>
          </a:p>
        </c:txPr>
        <c:crossAx val="20"/>
        <c:crosses val="autoZero"/>
        <c:crossBetween val="midCat"/>
        <c:majorUnit val="1"/>
      </c:valAx>
      <c:valAx>
        <c:axId val="20"/>
        <c:scaling>
          <c:orientation val="minMax"/>
          <c:max val="15"/>
          <c:min val="0"/>
        </c:scaling>
        <c:delete val="0"/>
        <c:axPos val="l"/>
        <c:majorGridlines>
          <c:spPr>
            <a:ln w="6350">
              <a:solidFill>
                <a:srgbClr val="E4E9EC"/>
              </a:solidFill>
              <a:prstDash val="solid"/>
            </a:ln>
          </c:spPr>
        </c:majorGridlines>
        <c:title>
          <c:tx>
            <c:strRef>
              <c:f>Спирман_графики!$J$104</c:f>
              <c:strCache>
                <c:ptCount val="1"/>
                <c:pt idx="0">
                  <c:v>ТК1</c:v>
                </c:pt>
              </c:strCache>
            </c:strRef>
          </c:tx>
          <c:overlay val="0"/>
          <c:txPr>
            <a:bodyPr/>
            <a:lstStyle/>
            <a:p>
              <a:pPr>
                <a:defRPr sz="1100" b="1">
                  <a:solidFill>
                    <a:srgbClr val="263746"/>
                  </a:solidFill>
                  <a:latin typeface="Arial"/>
                </a:defRPr>
              </a:pPr>
              <a:endParaRPr lang="ru-RU"/>
            </a:p>
          </c:txPr>
        </c:title>
        <c:numFmt formatCode="0" sourceLinked="0"/>
        <c:majorTickMark val="out"/>
        <c:minorTickMark val="none"/>
        <c:tickLblPos val="low"/>
        <c:spPr>
          <a:ln w="9525">
            <a:solidFill>
              <a:srgbClr val="263746"/>
            </a:solidFill>
            <a:prstDash val="solid"/>
          </a:ln>
        </c:spPr>
        <c:txPr>
          <a:bodyPr/>
          <a:lstStyle/>
          <a:p>
            <a:pPr>
              <a:defRPr sz="1000" b="0">
                <a:solidFill>
                  <a:srgbClr val="263746"/>
                </a:solidFill>
                <a:latin typeface="Arial"/>
              </a:defRPr>
            </a:pPr>
            <a:endParaRPr lang="ru-RU"/>
          </a:p>
        </c:txPr>
        <c:crossAx val="10"/>
        <c:crosses val="autoZero"/>
        <c:crossBetween val="midCat"/>
        <c:majorUnit val="2"/>
      </c:valAx>
      <c:spPr>
        <a:solidFill>
          <a:srgbClr val="FFFFFF"/>
        </a:solidFill>
        <a:ln>
          <a:prstDash val="solid"/>
        </a:ln>
      </c:spPr>
    </c:plotArea>
    <c:legend>
      <c:legendPos val="b"/>
      <c:overlay val="0"/>
      <c:txPr>
        <a:bodyPr/>
        <a:lstStyle/>
        <a:p>
          <a:pPr>
            <a:defRPr sz="950" b="0">
              <a:solidFill>
                <a:srgbClr val="263746"/>
              </a:solidFill>
              <a:latin typeface="Arial"/>
            </a:defRPr>
          </a:pPr>
          <a:endParaRPr lang="ru-RU"/>
        </a:p>
      </c:txPr>
    </c:legend>
    <c:plotVisOnly val="1"/>
    <c:dispBlanksAs val="gap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strRef>
          <c:f>Расчёты_графиков!$B$1025</c:f>
          <c:strCache>
            <c:ptCount val="1"/>
            <c:pt idx="0">
              <c:v>ТК2 в зависимости от Л1
ρ = 0,079; p = 0,5034; n = 74</c:v>
            </c:pt>
          </c:strCache>
        </c:strRef>
      </c:tx>
      <c:overlay val="0"/>
      <c:txPr>
        <a:bodyPr/>
        <a:lstStyle/>
        <a:p>
          <a:pPr>
            <a:defRPr sz="1200" b="0">
              <a:solidFill>
                <a:srgbClr val="263746"/>
              </a:solidFill>
              <a:latin typeface="Arial"/>
            </a:defRPr>
          </a:pPr>
          <a:endParaRPr lang="ru-RU"/>
        </a:p>
      </c:txPr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Межквартильный размах и усы</c:v>
          </c:tx>
          <c:spPr>
            <a:ln w="22860">
              <a:solidFill>
                <a:srgbClr val="326A8D"/>
              </a:solidFill>
              <a:prstDash val="solid"/>
            </a:ln>
          </c:spPr>
          <c:marker>
            <c:symbol val="none"/>
          </c:marker>
          <c:xVal>
            <c:numRef>
              <c:f>Расчёты_графиков!$A$1030:$A$1123</c:f>
              <c:numCache>
                <c:formatCode>General</c:formatCode>
                <c:ptCount val="94"/>
                <c:pt idx="0">
                  <c:v>0.75</c:v>
                </c:pt>
                <c:pt idx="1">
                  <c:v>1.25</c:v>
                </c:pt>
                <c:pt idx="2">
                  <c:v>1.25</c:v>
                </c:pt>
                <c:pt idx="3">
                  <c:v>0.75</c:v>
                </c:pt>
                <c:pt idx="4">
                  <c:v>0.75</c:v>
                </c:pt>
                <c:pt idx="6">
                  <c:v>0.75</c:v>
                </c:pt>
                <c:pt idx="7">
                  <c:v>1.25</c:v>
                </c:pt>
                <c:pt idx="9">
                  <c:v>0.87</c:v>
                </c:pt>
                <c:pt idx="10">
                  <c:v>1.1299999999999999</c:v>
                </c:pt>
                <c:pt idx="11">
                  <c:v>1</c:v>
                </c:pt>
                <c:pt idx="12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0.87</c:v>
                </c:pt>
                <c:pt idx="17">
                  <c:v>1.1299999999999999</c:v>
                </c:pt>
                <c:pt idx="19">
                  <c:v>1.75</c:v>
                </c:pt>
                <c:pt idx="20">
                  <c:v>2.25</c:v>
                </c:pt>
                <c:pt idx="21">
                  <c:v>2.25</c:v>
                </c:pt>
                <c:pt idx="22">
                  <c:v>1.75</c:v>
                </c:pt>
                <c:pt idx="23">
                  <c:v>1.75</c:v>
                </c:pt>
                <c:pt idx="25">
                  <c:v>1.75</c:v>
                </c:pt>
                <c:pt idx="26">
                  <c:v>2.25</c:v>
                </c:pt>
                <c:pt idx="28">
                  <c:v>1.87</c:v>
                </c:pt>
                <c:pt idx="29">
                  <c:v>2.13</c:v>
                </c:pt>
                <c:pt idx="30">
                  <c:v>2</c:v>
                </c:pt>
                <c:pt idx="31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1.87</c:v>
                </c:pt>
                <c:pt idx="36">
                  <c:v>2.13</c:v>
                </c:pt>
                <c:pt idx="38">
                  <c:v>2.75</c:v>
                </c:pt>
                <c:pt idx="39">
                  <c:v>3.25</c:v>
                </c:pt>
                <c:pt idx="40">
                  <c:v>3.25</c:v>
                </c:pt>
                <c:pt idx="41">
                  <c:v>2.75</c:v>
                </c:pt>
                <c:pt idx="42">
                  <c:v>2.75</c:v>
                </c:pt>
                <c:pt idx="44">
                  <c:v>2.75</c:v>
                </c:pt>
                <c:pt idx="45">
                  <c:v>3.25</c:v>
                </c:pt>
                <c:pt idx="47">
                  <c:v>2.87</c:v>
                </c:pt>
                <c:pt idx="48">
                  <c:v>3.13</c:v>
                </c:pt>
                <c:pt idx="49">
                  <c:v>3</c:v>
                </c:pt>
                <c:pt idx="50">
                  <c:v>3</c:v>
                </c:pt>
                <c:pt idx="52">
                  <c:v>3</c:v>
                </c:pt>
                <c:pt idx="53">
                  <c:v>3</c:v>
                </c:pt>
                <c:pt idx="54">
                  <c:v>2.87</c:v>
                </c:pt>
                <c:pt idx="55">
                  <c:v>3.13</c:v>
                </c:pt>
                <c:pt idx="57">
                  <c:v>3.75</c:v>
                </c:pt>
                <c:pt idx="58">
                  <c:v>4.25</c:v>
                </c:pt>
                <c:pt idx="59">
                  <c:v>4.25</c:v>
                </c:pt>
                <c:pt idx="60">
                  <c:v>3.75</c:v>
                </c:pt>
                <c:pt idx="61">
                  <c:v>3.75</c:v>
                </c:pt>
                <c:pt idx="63">
                  <c:v>3.75</c:v>
                </c:pt>
                <c:pt idx="64">
                  <c:v>4.25</c:v>
                </c:pt>
                <c:pt idx="66">
                  <c:v>3.87</c:v>
                </c:pt>
                <c:pt idx="67">
                  <c:v>4.13</c:v>
                </c:pt>
                <c:pt idx="68">
                  <c:v>4</c:v>
                </c:pt>
                <c:pt idx="69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3.87</c:v>
                </c:pt>
                <c:pt idx="74">
                  <c:v>4.13</c:v>
                </c:pt>
                <c:pt idx="76">
                  <c:v>4.75</c:v>
                </c:pt>
                <c:pt idx="77">
                  <c:v>5.25</c:v>
                </c:pt>
                <c:pt idx="78">
                  <c:v>5.25</c:v>
                </c:pt>
                <c:pt idx="79">
                  <c:v>4.75</c:v>
                </c:pt>
                <c:pt idx="80">
                  <c:v>4.75</c:v>
                </c:pt>
                <c:pt idx="82">
                  <c:v>4.75</c:v>
                </c:pt>
                <c:pt idx="83">
                  <c:v>5.25</c:v>
                </c:pt>
                <c:pt idx="85">
                  <c:v>4.87</c:v>
                </c:pt>
                <c:pt idx="86">
                  <c:v>5.13</c:v>
                </c:pt>
                <c:pt idx="87">
                  <c:v>5</c:v>
                </c:pt>
                <c:pt idx="88">
                  <c:v>5</c:v>
                </c:pt>
                <c:pt idx="90">
                  <c:v>5</c:v>
                </c:pt>
                <c:pt idx="91">
                  <c:v>5</c:v>
                </c:pt>
                <c:pt idx="92">
                  <c:v>4.87</c:v>
                </c:pt>
                <c:pt idx="93">
                  <c:v>5.13</c:v>
                </c:pt>
              </c:numCache>
            </c:numRef>
          </c:xVal>
          <c:yVal>
            <c:numRef>
              <c:f>Расчёты_графиков!$B$1030:$B$1123</c:f>
              <c:numCache>
                <c:formatCode>General</c:formatCode>
                <c:ptCount val="94"/>
                <c:pt idx="0">
                  <c:v>7.5</c:v>
                </c:pt>
                <c:pt idx="1">
                  <c:v>7.5</c:v>
                </c:pt>
                <c:pt idx="2">
                  <c:v>9.5</c:v>
                </c:pt>
                <c:pt idx="3">
                  <c:v>9.5</c:v>
                </c:pt>
                <c:pt idx="4">
                  <c:v>7.5</c:v>
                </c:pt>
                <c:pt idx="6">
                  <c:v>9</c:v>
                </c:pt>
                <c:pt idx="7">
                  <c:v>9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7.5</c:v>
                </c:pt>
                <c:pt idx="14">
                  <c:v>9.5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9">
                  <c:v>7</c:v>
                </c:pt>
                <c:pt idx="20">
                  <c:v>7</c:v>
                </c:pt>
                <c:pt idx="21">
                  <c:v>9.25</c:v>
                </c:pt>
                <c:pt idx="22">
                  <c:v>9.25</c:v>
                </c:pt>
                <c:pt idx="23">
                  <c:v>7</c:v>
                </c:pt>
                <c:pt idx="25">
                  <c:v>9</c:v>
                </c:pt>
                <c:pt idx="26">
                  <c:v>9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7</c:v>
                </c:pt>
                <c:pt idx="33">
                  <c:v>9.25</c:v>
                </c:pt>
                <c:pt idx="34">
                  <c:v>11</c:v>
                </c:pt>
                <c:pt idx="35">
                  <c:v>11</c:v>
                </c:pt>
                <c:pt idx="36">
                  <c:v>11</c:v>
                </c:pt>
                <c:pt idx="38">
                  <c:v>7</c:v>
                </c:pt>
                <c:pt idx="39">
                  <c:v>7</c:v>
                </c:pt>
                <c:pt idx="40">
                  <c:v>9</c:v>
                </c:pt>
                <c:pt idx="41">
                  <c:v>9</c:v>
                </c:pt>
                <c:pt idx="42">
                  <c:v>7</c:v>
                </c:pt>
                <c:pt idx="44">
                  <c:v>8</c:v>
                </c:pt>
                <c:pt idx="45">
                  <c:v>8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7</c:v>
                </c:pt>
                <c:pt idx="52">
                  <c:v>9</c:v>
                </c:pt>
                <c:pt idx="53">
                  <c:v>11</c:v>
                </c:pt>
                <c:pt idx="54">
                  <c:v>11</c:v>
                </c:pt>
                <c:pt idx="55">
                  <c:v>11</c:v>
                </c:pt>
                <c:pt idx="57">
                  <c:v>8</c:v>
                </c:pt>
                <c:pt idx="58">
                  <c:v>8</c:v>
                </c:pt>
                <c:pt idx="59">
                  <c:v>10</c:v>
                </c:pt>
                <c:pt idx="60">
                  <c:v>10</c:v>
                </c:pt>
                <c:pt idx="61">
                  <c:v>8</c:v>
                </c:pt>
                <c:pt idx="63">
                  <c:v>9</c:v>
                </c:pt>
                <c:pt idx="64">
                  <c:v>9</c:v>
                </c:pt>
                <c:pt idx="66">
                  <c:v>5</c:v>
                </c:pt>
                <c:pt idx="67">
                  <c:v>5</c:v>
                </c:pt>
                <c:pt idx="68">
                  <c:v>5</c:v>
                </c:pt>
                <c:pt idx="69">
                  <c:v>8</c:v>
                </c:pt>
                <c:pt idx="71">
                  <c:v>10</c:v>
                </c:pt>
                <c:pt idx="72">
                  <c:v>12</c:v>
                </c:pt>
                <c:pt idx="73">
                  <c:v>12</c:v>
                </c:pt>
                <c:pt idx="74">
                  <c:v>12</c:v>
                </c:pt>
                <c:pt idx="76">
                  <c:v>8</c:v>
                </c:pt>
                <c:pt idx="77">
                  <c:v>8</c:v>
                </c:pt>
                <c:pt idx="78">
                  <c:v>8.75</c:v>
                </c:pt>
                <c:pt idx="79">
                  <c:v>8.75</c:v>
                </c:pt>
                <c:pt idx="80">
                  <c:v>8</c:v>
                </c:pt>
                <c:pt idx="82">
                  <c:v>8</c:v>
                </c:pt>
                <c:pt idx="83">
                  <c:v>8</c:v>
                </c:pt>
                <c:pt idx="85">
                  <c:v>7</c:v>
                </c:pt>
                <c:pt idx="86">
                  <c:v>7</c:v>
                </c:pt>
                <c:pt idx="87">
                  <c:v>7</c:v>
                </c:pt>
                <c:pt idx="88">
                  <c:v>8</c:v>
                </c:pt>
                <c:pt idx="90">
                  <c:v>8.75</c:v>
                </c:pt>
                <c:pt idx="91">
                  <c:v>9</c:v>
                </c:pt>
                <c:pt idx="92">
                  <c:v>9</c:v>
                </c:pt>
                <c:pt idx="93">
                  <c:v>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54A-4BA5-9382-315A70B14CD7}"/>
            </c:ext>
          </c:extLst>
        </c:ser>
        <c:ser>
          <c:idx val="1"/>
          <c:order val="1"/>
          <c:tx>
            <c:v>Медиана</c:v>
          </c:tx>
          <c:spPr>
            <a:ln w="31750">
              <a:solidFill>
                <a:srgbClr val="203D66"/>
              </a:solidFill>
              <a:prstDash val="solid"/>
            </a:ln>
          </c:spPr>
          <c:marker>
            <c:symbol val="none"/>
          </c:marker>
          <c:xVal>
            <c:numRef>
              <c:f>Расчёты_графиков!$U$1030:$U$1043</c:f>
              <c:numCache>
                <c:formatCode>General</c:formatCode>
                <c:ptCount val="14"/>
                <c:pt idx="0">
                  <c:v>0.75</c:v>
                </c:pt>
                <c:pt idx="1">
                  <c:v>1.25</c:v>
                </c:pt>
                <c:pt idx="3">
                  <c:v>1.75</c:v>
                </c:pt>
                <c:pt idx="4">
                  <c:v>2.25</c:v>
                </c:pt>
                <c:pt idx="6">
                  <c:v>2.75</c:v>
                </c:pt>
                <c:pt idx="7">
                  <c:v>3.25</c:v>
                </c:pt>
                <c:pt idx="9">
                  <c:v>3.75</c:v>
                </c:pt>
                <c:pt idx="10">
                  <c:v>4.25</c:v>
                </c:pt>
                <c:pt idx="12">
                  <c:v>4.75</c:v>
                </c:pt>
                <c:pt idx="13">
                  <c:v>5.25</c:v>
                </c:pt>
              </c:numCache>
            </c:numRef>
          </c:xVal>
          <c:yVal>
            <c:numRef>
              <c:f>Расчёты_графиков!$V$1030:$V$1043</c:f>
              <c:numCache>
                <c:formatCode>General</c:formatCode>
                <c:ptCount val="14"/>
                <c:pt idx="0">
                  <c:v>9</c:v>
                </c:pt>
                <c:pt idx="1">
                  <c:v>9</c:v>
                </c:pt>
                <c:pt idx="3">
                  <c:v>9</c:v>
                </c:pt>
                <c:pt idx="4">
                  <c:v>9</c:v>
                </c:pt>
                <c:pt idx="6">
                  <c:v>8</c:v>
                </c:pt>
                <c:pt idx="7">
                  <c:v>8</c:v>
                </c:pt>
                <c:pt idx="9">
                  <c:v>9</c:v>
                </c:pt>
                <c:pt idx="10">
                  <c:v>9</c:v>
                </c:pt>
                <c:pt idx="12">
                  <c:v>8</c:v>
                </c:pt>
                <c:pt idx="13">
                  <c:v>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54A-4BA5-9382-315A70B14CD7}"/>
            </c:ext>
          </c:extLst>
        </c:ser>
        <c:ser>
          <c:idx val="2"/>
          <c:order val="2"/>
          <c:tx>
            <c:v>Наблюдения</c:v>
          </c:tx>
          <c:spPr>
            <a:ln>
              <a:noFill/>
              <a:prstDash val="solid"/>
            </a:ln>
          </c:spPr>
          <c:marker>
            <c:symbol val="circle"/>
            <c:size val="5"/>
            <c:spPr>
              <a:solidFill>
                <a:srgbClr val="83969E"/>
              </a:solidFill>
              <a:ln>
                <a:noFill/>
                <a:prstDash val="solid"/>
              </a:ln>
            </c:spPr>
          </c:marker>
          <c:xVal>
            <c:numRef>
              <c:f>Расчёты_графиков!$O$932:$O$1005</c:f>
              <c:numCache>
                <c:formatCode>General</c:formatCode>
                <c:ptCount val="74"/>
                <c:pt idx="0">
                  <c:v>0.89500000000000002</c:v>
                </c:pt>
                <c:pt idx="1">
                  <c:v>1.895</c:v>
                </c:pt>
                <c:pt idx="2">
                  <c:v>1.895</c:v>
                </c:pt>
                <c:pt idx="3">
                  <c:v>1.93</c:v>
                </c:pt>
                <c:pt idx="4">
                  <c:v>0.92999999999999994</c:v>
                </c:pt>
                <c:pt idx="5">
                  <c:v>0.89500000000000002</c:v>
                </c:pt>
                <c:pt idx="6">
                  <c:v>0.89500000000000002</c:v>
                </c:pt>
                <c:pt idx="7">
                  <c:v>1.9650000000000001</c:v>
                </c:pt>
                <c:pt idx="8">
                  <c:v>1.895</c:v>
                </c:pt>
                <c:pt idx="9">
                  <c:v>0.89500000000000002</c:v>
                </c:pt>
                <c:pt idx="10">
                  <c:v>1.895</c:v>
                </c:pt>
                <c:pt idx="11">
                  <c:v>0.89500000000000002</c:v>
                </c:pt>
                <c:pt idx="12">
                  <c:v>0.92999999999999994</c:v>
                </c:pt>
                <c:pt idx="13">
                  <c:v>1.895</c:v>
                </c:pt>
                <c:pt idx="14">
                  <c:v>1.93</c:v>
                </c:pt>
                <c:pt idx="15">
                  <c:v>1.895</c:v>
                </c:pt>
                <c:pt idx="16">
                  <c:v>1.93</c:v>
                </c:pt>
                <c:pt idx="17">
                  <c:v>1.93</c:v>
                </c:pt>
                <c:pt idx="18">
                  <c:v>2</c:v>
                </c:pt>
                <c:pt idx="19">
                  <c:v>3.895</c:v>
                </c:pt>
                <c:pt idx="20">
                  <c:v>2.895</c:v>
                </c:pt>
                <c:pt idx="21">
                  <c:v>2.895</c:v>
                </c:pt>
                <c:pt idx="22">
                  <c:v>2.895</c:v>
                </c:pt>
                <c:pt idx="23">
                  <c:v>2.895</c:v>
                </c:pt>
                <c:pt idx="24">
                  <c:v>2.93</c:v>
                </c:pt>
                <c:pt idx="25">
                  <c:v>2.93</c:v>
                </c:pt>
                <c:pt idx="26">
                  <c:v>2.93</c:v>
                </c:pt>
                <c:pt idx="27">
                  <c:v>2.93</c:v>
                </c:pt>
                <c:pt idx="28">
                  <c:v>2.9649999999999999</c:v>
                </c:pt>
                <c:pt idx="29">
                  <c:v>3.895</c:v>
                </c:pt>
                <c:pt idx="30">
                  <c:v>2.9649999999999999</c:v>
                </c:pt>
                <c:pt idx="31">
                  <c:v>2.895</c:v>
                </c:pt>
                <c:pt idx="32">
                  <c:v>3</c:v>
                </c:pt>
                <c:pt idx="33">
                  <c:v>3.0350000000000001</c:v>
                </c:pt>
                <c:pt idx="34">
                  <c:v>3.895</c:v>
                </c:pt>
                <c:pt idx="35">
                  <c:v>3.07</c:v>
                </c:pt>
                <c:pt idx="36">
                  <c:v>3</c:v>
                </c:pt>
                <c:pt idx="37">
                  <c:v>3.895</c:v>
                </c:pt>
                <c:pt idx="38">
                  <c:v>2.895</c:v>
                </c:pt>
                <c:pt idx="39">
                  <c:v>3.895</c:v>
                </c:pt>
                <c:pt idx="40">
                  <c:v>3.105</c:v>
                </c:pt>
                <c:pt idx="41">
                  <c:v>3.93</c:v>
                </c:pt>
                <c:pt idx="42">
                  <c:v>2.895</c:v>
                </c:pt>
                <c:pt idx="43">
                  <c:v>2.895</c:v>
                </c:pt>
                <c:pt idx="44">
                  <c:v>3.93</c:v>
                </c:pt>
                <c:pt idx="45">
                  <c:v>2.93</c:v>
                </c:pt>
                <c:pt idx="46">
                  <c:v>3.895</c:v>
                </c:pt>
                <c:pt idx="47">
                  <c:v>2.93</c:v>
                </c:pt>
                <c:pt idx="48">
                  <c:v>3.0350000000000001</c:v>
                </c:pt>
                <c:pt idx="49">
                  <c:v>2.9649999999999999</c:v>
                </c:pt>
                <c:pt idx="50">
                  <c:v>2.93</c:v>
                </c:pt>
                <c:pt idx="51">
                  <c:v>3.93</c:v>
                </c:pt>
                <c:pt idx="52">
                  <c:v>2.9649999999999999</c:v>
                </c:pt>
                <c:pt idx="53">
                  <c:v>3.9649999999999999</c:v>
                </c:pt>
                <c:pt idx="54">
                  <c:v>3.9649999999999999</c:v>
                </c:pt>
                <c:pt idx="55">
                  <c:v>4</c:v>
                </c:pt>
                <c:pt idx="56">
                  <c:v>3.93</c:v>
                </c:pt>
                <c:pt idx="57">
                  <c:v>4</c:v>
                </c:pt>
                <c:pt idx="58">
                  <c:v>3.93</c:v>
                </c:pt>
                <c:pt idx="59">
                  <c:v>4.8949999999999996</c:v>
                </c:pt>
                <c:pt idx="60">
                  <c:v>3.9649999999999999</c:v>
                </c:pt>
                <c:pt idx="61">
                  <c:v>3.895</c:v>
                </c:pt>
                <c:pt idx="62">
                  <c:v>4.0350000000000001</c:v>
                </c:pt>
                <c:pt idx="63">
                  <c:v>4</c:v>
                </c:pt>
                <c:pt idx="64">
                  <c:v>4.0350000000000001</c:v>
                </c:pt>
                <c:pt idx="65">
                  <c:v>4.8949999999999996</c:v>
                </c:pt>
                <c:pt idx="66">
                  <c:v>4.8949999999999996</c:v>
                </c:pt>
                <c:pt idx="67">
                  <c:v>3.895</c:v>
                </c:pt>
                <c:pt idx="68">
                  <c:v>4.0350000000000001</c:v>
                </c:pt>
                <c:pt idx="69">
                  <c:v>4.93</c:v>
                </c:pt>
                <c:pt idx="70">
                  <c:v>4.9649999999999999</c:v>
                </c:pt>
                <c:pt idx="71">
                  <c:v>4.8949999999999996</c:v>
                </c:pt>
                <c:pt idx="72">
                  <c:v>4.07</c:v>
                </c:pt>
                <c:pt idx="73">
                  <c:v>4.07</c:v>
                </c:pt>
              </c:numCache>
            </c:numRef>
          </c:xVal>
          <c:yVal>
            <c:numRef>
              <c:f>Расчёты_графиков!$P$932:$P$1005</c:f>
              <c:numCache>
                <c:formatCode>General</c:formatCode>
                <c:ptCount val="74"/>
                <c:pt idx="0">
                  <c:v>10</c:v>
                </c:pt>
                <c:pt idx="1">
                  <c:v>9</c:v>
                </c:pt>
                <c:pt idx="2">
                  <c:v>10</c:v>
                </c:pt>
                <c:pt idx="3">
                  <c:v>9</c:v>
                </c:pt>
                <c:pt idx="4">
                  <c:v>10</c:v>
                </c:pt>
                <c:pt idx="5">
                  <c:v>9</c:v>
                </c:pt>
                <c:pt idx="6">
                  <c:v>5</c:v>
                </c:pt>
                <c:pt idx="7">
                  <c:v>9</c:v>
                </c:pt>
                <c:pt idx="8">
                  <c:v>8</c:v>
                </c:pt>
                <c:pt idx="9">
                  <c:v>8</c:v>
                </c:pt>
                <c:pt idx="10">
                  <c:v>7</c:v>
                </c:pt>
                <c:pt idx="11">
                  <c:v>7</c:v>
                </c:pt>
                <c:pt idx="12">
                  <c:v>9</c:v>
                </c:pt>
                <c:pt idx="13">
                  <c:v>6</c:v>
                </c:pt>
                <c:pt idx="14">
                  <c:v>7</c:v>
                </c:pt>
                <c:pt idx="15">
                  <c:v>11</c:v>
                </c:pt>
                <c:pt idx="16">
                  <c:v>10</c:v>
                </c:pt>
                <c:pt idx="17">
                  <c:v>6</c:v>
                </c:pt>
                <c:pt idx="18">
                  <c:v>9</c:v>
                </c:pt>
                <c:pt idx="19">
                  <c:v>5</c:v>
                </c:pt>
                <c:pt idx="20">
                  <c:v>6</c:v>
                </c:pt>
                <c:pt idx="21">
                  <c:v>11</c:v>
                </c:pt>
                <c:pt idx="22">
                  <c:v>8</c:v>
                </c:pt>
                <c:pt idx="23">
                  <c:v>10</c:v>
                </c:pt>
                <c:pt idx="24">
                  <c:v>11</c:v>
                </c:pt>
                <c:pt idx="25">
                  <c:v>6</c:v>
                </c:pt>
                <c:pt idx="26">
                  <c:v>10</c:v>
                </c:pt>
                <c:pt idx="27">
                  <c:v>8</c:v>
                </c:pt>
                <c:pt idx="28">
                  <c:v>6</c:v>
                </c:pt>
                <c:pt idx="29">
                  <c:v>10</c:v>
                </c:pt>
                <c:pt idx="30">
                  <c:v>8</c:v>
                </c:pt>
                <c:pt idx="31">
                  <c:v>5</c:v>
                </c:pt>
                <c:pt idx="32">
                  <c:v>8</c:v>
                </c:pt>
                <c:pt idx="33">
                  <c:v>8</c:v>
                </c:pt>
                <c:pt idx="34">
                  <c:v>9</c:v>
                </c:pt>
                <c:pt idx="35">
                  <c:v>8</c:v>
                </c:pt>
                <c:pt idx="36">
                  <c:v>6</c:v>
                </c:pt>
                <c:pt idx="37">
                  <c:v>7</c:v>
                </c:pt>
                <c:pt idx="38">
                  <c:v>7</c:v>
                </c:pt>
                <c:pt idx="39">
                  <c:v>11</c:v>
                </c:pt>
                <c:pt idx="40">
                  <c:v>8</c:v>
                </c:pt>
                <c:pt idx="41">
                  <c:v>10</c:v>
                </c:pt>
                <c:pt idx="42">
                  <c:v>9</c:v>
                </c:pt>
                <c:pt idx="43">
                  <c:v>8</c:v>
                </c:pt>
                <c:pt idx="44">
                  <c:v>9</c:v>
                </c:pt>
                <c:pt idx="45">
                  <c:v>8</c:v>
                </c:pt>
                <c:pt idx="46">
                  <c:v>8</c:v>
                </c:pt>
                <c:pt idx="47">
                  <c:v>9</c:v>
                </c:pt>
                <c:pt idx="48">
                  <c:v>6</c:v>
                </c:pt>
                <c:pt idx="49">
                  <c:v>10</c:v>
                </c:pt>
                <c:pt idx="50">
                  <c:v>7</c:v>
                </c:pt>
                <c:pt idx="51">
                  <c:v>5</c:v>
                </c:pt>
                <c:pt idx="52">
                  <c:v>8</c:v>
                </c:pt>
                <c:pt idx="53">
                  <c:v>10</c:v>
                </c:pt>
                <c:pt idx="54">
                  <c:v>9</c:v>
                </c:pt>
                <c:pt idx="55">
                  <c:v>10</c:v>
                </c:pt>
                <c:pt idx="56">
                  <c:v>11</c:v>
                </c:pt>
                <c:pt idx="57">
                  <c:v>9</c:v>
                </c:pt>
                <c:pt idx="58">
                  <c:v>8</c:v>
                </c:pt>
                <c:pt idx="59">
                  <c:v>8</c:v>
                </c:pt>
                <c:pt idx="60">
                  <c:v>8</c:v>
                </c:pt>
                <c:pt idx="61">
                  <c:v>6</c:v>
                </c:pt>
                <c:pt idx="62">
                  <c:v>10</c:v>
                </c:pt>
                <c:pt idx="63">
                  <c:v>8</c:v>
                </c:pt>
                <c:pt idx="64">
                  <c:v>8</c:v>
                </c:pt>
                <c:pt idx="65">
                  <c:v>11</c:v>
                </c:pt>
                <c:pt idx="66">
                  <c:v>9</c:v>
                </c:pt>
                <c:pt idx="67">
                  <c:v>12</c:v>
                </c:pt>
                <c:pt idx="68">
                  <c:v>9</c:v>
                </c:pt>
                <c:pt idx="69">
                  <c:v>8</c:v>
                </c:pt>
                <c:pt idx="70">
                  <c:v>8</c:v>
                </c:pt>
                <c:pt idx="71">
                  <c:v>7</c:v>
                </c:pt>
                <c:pt idx="72">
                  <c:v>9</c:v>
                </c:pt>
                <c:pt idx="73">
                  <c:v>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54A-4BA5-9382-315A70B14CD7}"/>
            </c:ext>
          </c:extLst>
        </c:ser>
        <c:ser>
          <c:idx val="3"/>
          <c:order val="3"/>
          <c:tx>
            <c:v>Среднее по группе</c:v>
          </c:tx>
          <c:spPr>
            <a:ln w="31750">
              <a:solidFill>
                <a:srgbClr val="D83E50"/>
              </a:solidFill>
              <a:prstDash val="solid"/>
            </a:ln>
          </c:spPr>
          <c:marker>
            <c:symbol val="diamond"/>
            <c:size val="9"/>
            <c:spPr>
              <a:solidFill>
                <a:srgbClr val="D83E50"/>
              </a:solidFill>
              <a:ln>
                <a:noFill/>
                <a:prstDash val="solid"/>
              </a:ln>
            </c:spPr>
          </c:marker>
          <c:xVal>
            <c:numRef>
              <c:f>Расчёты_графиков!$E$1010:$I$1010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Расчёты_графиков!$E$1012:$I$1012</c:f>
              <c:numCache>
                <c:formatCode>0.00</c:formatCode>
                <c:ptCount val="5"/>
                <c:pt idx="0">
                  <c:v>8.2857142857142865</c:v>
                </c:pt>
                <c:pt idx="1">
                  <c:v>8.4166666666666661</c:v>
                </c:pt>
                <c:pt idx="2">
                  <c:v>7.96</c:v>
                </c:pt>
                <c:pt idx="3">
                  <c:v>8.7083333333333339</c:v>
                </c:pt>
                <c:pt idx="4">
                  <c:v>8.5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54A-4BA5-9382-315A70B14C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ax val="6"/>
          <c:min val="0"/>
        </c:scaling>
        <c:delete val="0"/>
        <c:axPos val="b"/>
        <c:title>
          <c:tx>
            <c:strRef>
              <c:f>Спирман_графики!$D$136</c:f>
              <c:strCache>
                <c:ptCount val="1"/>
                <c:pt idx="0">
                  <c:v>Л1</c:v>
                </c:pt>
              </c:strCache>
            </c:strRef>
          </c:tx>
          <c:overlay val="0"/>
          <c:txPr>
            <a:bodyPr/>
            <a:lstStyle/>
            <a:p>
              <a:pPr>
                <a:defRPr sz="1100" b="1">
                  <a:solidFill>
                    <a:srgbClr val="263746"/>
                  </a:solidFill>
                  <a:latin typeface="Arial"/>
                </a:defRPr>
              </a:pPr>
              <a:endParaRPr lang="ru-RU"/>
            </a:p>
          </c:txPr>
        </c:title>
        <c:numFmt formatCode="[&lt;1]&quot;&quot;;[&gt;5]&quot;&quot;;0" sourceLinked="0"/>
        <c:majorTickMark val="out"/>
        <c:minorTickMark val="none"/>
        <c:tickLblPos val="low"/>
        <c:spPr>
          <a:ln w="9525">
            <a:solidFill>
              <a:srgbClr val="263746"/>
            </a:solidFill>
            <a:prstDash val="solid"/>
          </a:ln>
        </c:spPr>
        <c:txPr>
          <a:bodyPr/>
          <a:lstStyle/>
          <a:p>
            <a:pPr>
              <a:defRPr sz="1000" b="0">
                <a:solidFill>
                  <a:srgbClr val="263746"/>
                </a:solidFill>
                <a:latin typeface="Arial"/>
              </a:defRPr>
            </a:pPr>
            <a:endParaRPr lang="ru-RU"/>
          </a:p>
        </c:txPr>
        <c:crossAx val="20"/>
        <c:crosses val="autoZero"/>
        <c:crossBetween val="midCat"/>
        <c:majorUnit val="1"/>
      </c:valAx>
      <c:valAx>
        <c:axId val="20"/>
        <c:scaling>
          <c:orientation val="minMax"/>
          <c:max val="15"/>
          <c:min val="0"/>
        </c:scaling>
        <c:delete val="0"/>
        <c:axPos val="l"/>
        <c:majorGridlines>
          <c:spPr>
            <a:ln w="6350">
              <a:solidFill>
                <a:srgbClr val="E4E9EC"/>
              </a:solidFill>
              <a:prstDash val="solid"/>
            </a:ln>
          </c:spPr>
        </c:majorGridlines>
        <c:title>
          <c:tx>
            <c:strRef>
              <c:f>Спирман_графики!$J$136</c:f>
              <c:strCache>
                <c:ptCount val="1"/>
                <c:pt idx="0">
                  <c:v>ТК2</c:v>
                </c:pt>
              </c:strCache>
            </c:strRef>
          </c:tx>
          <c:overlay val="0"/>
          <c:txPr>
            <a:bodyPr/>
            <a:lstStyle/>
            <a:p>
              <a:pPr>
                <a:defRPr sz="1100" b="1">
                  <a:solidFill>
                    <a:srgbClr val="263746"/>
                  </a:solidFill>
                  <a:latin typeface="Arial"/>
                </a:defRPr>
              </a:pPr>
              <a:endParaRPr lang="ru-RU"/>
            </a:p>
          </c:txPr>
        </c:title>
        <c:numFmt formatCode="0" sourceLinked="0"/>
        <c:majorTickMark val="out"/>
        <c:minorTickMark val="none"/>
        <c:tickLblPos val="low"/>
        <c:spPr>
          <a:ln w="9525">
            <a:solidFill>
              <a:srgbClr val="263746"/>
            </a:solidFill>
            <a:prstDash val="solid"/>
          </a:ln>
        </c:spPr>
        <c:txPr>
          <a:bodyPr/>
          <a:lstStyle/>
          <a:p>
            <a:pPr>
              <a:defRPr sz="1000" b="0">
                <a:solidFill>
                  <a:srgbClr val="263746"/>
                </a:solidFill>
                <a:latin typeface="Arial"/>
              </a:defRPr>
            </a:pPr>
            <a:endParaRPr lang="ru-RU"/>
          </a:p>
        </c:txPr>
        <c:crossAx val="10"/>
        <c:crosses val="autoZero"/>
        <c:crossBetween val="midCat"/>
        <c:majorUnit val="2"/>
      </c:valAx>
      <c:spPr>
        <a:solidFill>
          <a:srgbClr val="FFFFFF"/>
        </a:solidFill>
        <a:ln>
          <a:prstDash val="solid"/>
        </a:ln>
      </c:spPr>
    </c:plotArea>
    <c:legend>
      <c:legendPos val="b"/>
      <c:overlay val="0"/>
      <c:txPr>
        <a:bodyPr/>
        <a:lstStyle/>
        <a:p>
          <a:pPr>
            <a:defRPr sz="950" b="0">
              <a:solidFill>
                <a:srgbClr val="263746"/>
              </a:solidFill>
              <a:latin typeface="Arial"/>
            </a:defRPr>
          </a:pPr>
          <a:endParaRPr lang="ru-RU"/>
        </a:p>
      </c:txPr>
    </c:legend>
    <c:plotVisOnly val="1"/>
    <c:dispBlanksAs val="gap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strRef>
          <c:f>Расчёты_графиков!$B$1255</c:f>
          <c:strCache>
            <c:ptCount val="1"/>
            <c:pt idx="0">
              <c:v>ТК3 в зависимости от Л1
ρ = 0,086; p = 0,4655; n = 74</c:v>
            </c:pt>
          </c:strCache>
        </c:strRef>
      </c:tx>
      <c:overlay val="0"/>
      <c:txPr>
        <a:bodyPr/>
        <a:lstStyle/>
        <a:p>
          <a:pPr>
            <a:defRPr sz="1200" b="0">
              <a:solidFill>
                <a:srgbClr val="263746"/>
              </a:solidFill>
              <a:latin typeface="Arial"/>
            </a:defRPr>
          </a:pPr>
          <a:endParaRPr lang="ru-RU"/>
        </a:p>
      </c:txPr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Межквартильный размах и усы</c:v>
          </c:tx>
          <c:spPr>
            <a:ln w="22860">
              <a:solidFill>
                <a:srgbClr val="326A8D"/>
              </a:solidFill>
              <a:prstDash val="solid"/>
            </a:ln>
          </c:spPr>
          <c:marker>
            <c:symbol val="none"/>
          </c:marker>
          <c:xVal>
            <c:numRef>
              <c:f>Расчёты_графиков!$A$1260:$A$1353</c:f>
              <c:numCache>
                <c:formatCode>General</c:formatCode>
                <c:ptCount val="94"/>
                <c:pt idx="0">
                  <c:v>0.75</c:v>
                </c:pt>
                <c:pt idx="1">
                  <c:v>1.25</c:v>
                </c:pt>
                <c:pt idx="2">
                  <c:v>1.25</c:v>
                </c:pt>
                <c:pt idx="3">
                  <c:v>0.75</c:v>
                </c:pt>
                <c:pt idx="4">
                  <c:v>0.75</c:v>
                </c:pt>
                <c:pt idx="6">
                  <c:v>0.75</c:v>
                </c:pt>
                <c:pt idx="7">
                  <c:v>1.25</c:v>
                </c:pt>
                <c:pt idx="9">
                  <c:v>0.87</c:v>
                </c:pt>
                <c:pt idx="10">
                  <c:v>1.1299999999999999</c:v>
                </c:pt>
                <c:pt idx="11">
                  <c:v>1</c:v>
                </c:pt>
                <c:pt idx="12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0.87</c:v>
                </c:pt>
                <c:pt idx="17">
                  <c:v>1.1299999999999999</c:v>
                </c:pt>
                <c:pt idx="19">
                  <c:v>1.75</c:v>
                </c:pt>
                <c:pt idx="20">
                  <c:v>2.25</c:v>
                </c:pt>
                <c:pt idx="21">
                  <c:v>2.25</c:v>
                </c:pt>
                <c:pt idx="22">
                  <c:v>1.75</c:v>
                </c:pt>
                <c:pt idx="23">
                  <c:v>1.75</c:v>
                </c:pt>
                <c:pt idx="25">
                  <c:v>1.75</c:v>
                </c:pt>
                <c:pt idx="26">
                  <c:v>2.25</c:v>
                </c:pt>
                <c:pt idx="28">
                  <c:v>1.87</c:v>
                </c:pt>
                <c:pt idx="29">
                  <c:v>2.13</c:v>
                </c:pt>
                <c:pt idx="30">
                  <c:v>2</c:v>
                </c:pt>
                <c:pt idx="31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1.87</c:v>
                </c:pt>
                <c:pt idx="36">
                  <c:v>2.13</c:v>
                </c:pt>
                <c:pt idx="38">
                  <c:v>2.75</c:v>
                </c:pt>
                <c:pt idx="39">
                  <c:v>3.25</c:v>
                </c:pt>
                <c:pt idx="40">
                  <c:v>3.25</c:v>
                </c:pt>
                <c:pt idx="41">
                  <c:v>2.75</c:v>
                </c:pt>
                <c:pt idx="42">
                  <c:v>2.75</c:v>
                </c:pt>
                <c:pt idx="44">
                  <c:v>2.75</c:v>
                </c:pt>
                <c:pt idx="45">
                  <c:v>3.25</c:v>
                </c:pt>
                <c:pt idx="47">
                  <c:v>2.87</c:v>
                </c:pt>
                <c:pt idx="48">
                  <c:v>3.13</c:v>
                </c:pt>
                <c:pt idx="49">
                  <c:v>3</c:v>
                </c:pt>
                <c:pt idx="50">
                  <c:v>3</c:v>
                </c:pt>
                <c:pt idx="52">
                  <c:v>3</c:v>
                </c:pt>
                <c:pt idx="53">
                  <c:v>3</c:v>
                </c:pt>
                <c:pt idx="54">
                  <c:v>2.87</c:v>
                </c:pt>
                <c:pt idx="55">
                  <c:v>3.13</c:v>
                </c:pt>
                <c:pt idx="57">
                  <c:v>3.75</c:v>
                </c:pt>
                <c:pt idx="58">
                  <c:v>4.25</c:v>
                </c:pt>
                <c:pt idx="59">
                  <c:v>4.25</c:v>
                </c:pt>
                <c:pt idx="60">
                  <c:v>3.75</c:v>
                </c:pt>
                <c:pt idx="61">
                  <c:v>3.75</c:v>
                </c:pt>
                <c:pt idx="63">
                  <c:v>3.75</c:v>
                </c:pt>
                <c:pt idx="64">
                  <c:v>4.25</c:v>
                </c:pt>
                <c:pt idx="66">
                  <c:v>3.87</c:v>
                </c:pt>
                <c:pt idx="67">
                  <c:v>4.13</c:v>
                </c:pt>
                <c:pt idx="68">
                  <c:v>4</c:v>
                </c:pt>
                <c:pt idx="69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3.87</c:v>
                </c:pt>
                <c:pt idx="74">
                  <c:v>4.13</c:v>
                </c:pt>
                <c:pt idx="76">
                  <c:v>4.75</c:v>
                </c:pt>
                <c:pt idx="77">
                  <c:v>5.25</c:v>
                </c:pt>
                <c:pt idx="78">
                  <c:v>5.25</c:v>
                </c:pt>
                <c:pt idx="79">
                  <c:v>4.75</c:v>
                </c:pt>
                <c:pt idx="80">
                  <c:v>4.75</c:v>
                </c:pt>
                <c:pt idx="82">
                  <c:v>4.75</c:v>
                </c:pt>
                <c:pt idx="83">
                  <c:v>5.25</c:v>
                </c:pt>
                <c:pt idx="85">
                  <c:v>4.87</c:v>
                </c:pt>
                <c:pt idx="86">
                  <c:v>5.13</c:v>
                </c:pt>
                <c:pt idx="87">
                  <c:v>5</c:v>
                </c:pt>
                <c:pt idx="88">
                  <c:v>5</c:v>
                </c:pt>
                <c:pt idx="90">
                  <c:v>5</c:v>
                </c:pt>
                <c:pt idx="91">
                  <c:v>5</c:v>
                </c:pt>
                <c:pt idx="92">
                  <c:v>4.87</c:v>
                </c:pt>
                <c:pt idx="93">
                  <c:v>5.13</c:v>
                </c:pt>
              </c:numCache>
            </c:numRef>
          </c:xVal>
          <c:yVal>
            <c:numRef>
              <c:f>Расчёты_графиков!$B$1260:$B$1353</c:f>
              <c:numCache>
                <c:formatCode>General</c:formatCode>
                <c:ptCount val="94"/>
                <c:pt idx="0">
                  <c:v>2.5</c:v>
                </c:pt>
                <c:pt idx="1">
                  <c:v>2.5</c:v>
                </c:pt>
                <c:pt idx="2">
                  <c:v>4</c:v>
                </c:pt>
                <c:pt idx="3">
                  <c:v>4</c:v>
                </c:pt>
                <c:pt idx="4">
                  <c:v>2.5</c:v>
                </c:pt>
                <c:pt idx="6">
                  <c:v>3</c:v>
                </c:pt>
                <c:pt idx="7">
                  <c:v>3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2.5</c:v>
                </c:pt>
                <c:pt idx="14">
                  <c:v>4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9">
                  <c:v>1.75</c:v>
                </c:pt>
                <c:pt idx="20">
                  <c:v>1.75</c:v>
                </c:pt>
                <c:pt idx="21">
                  <c:v>6</c:v>
                </c:pt>
                <c:pt idx="22">
                  <c:v>6</c:v>
                </c:pt>
                <c:pt idx="23">
                  <c:v>1.75</c:v>
                </c:pt>
                <c:pt idx="25">
                  <c:v>4</c:v>
                </c:pt>
                <c:pt idx="26">
                  <c:v>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1.75</c:v>
                </c:pt>
                <c:pt idx="33">
                  <c:v>6</c:v>
                </c:pt>
                <c:pt idx="34">
                  <c:v>8</c:v>
                </c:pt>
                <c:pt idx="35">
                  <c:v>8</c:v>
                </c:pt>
                <c:pt idx="36">
                  <c:v>8</c:v>
                </c:pt>
                <c:pt idx="38">
                  <c:v>5</c:v>
                </c:pt>
                <c:pt idx="39">
                  <c:v>5</c:v>
                </c:pt>
                <c:pt idx="40">
                  <c:v>7</c:v>
                </c:pt>
                <c:pt idx="41">
                  <c:v>7</c:v>
                </c:pt>
                <c:pt idx="42">
                  <c:v>5</c:v>
                </c:pt>
                <c:pt idx="44">
                  <c:v>6</c:v>
                </c:pt>
                <c:pt idx="45">
                  <c:v>6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5</c:v>
                </c:pt>
                <c:pt idx="52">
                  <c:v>7</c:v>
                </c:pt>
                <c:pt idx="53">
                  <c:v>9</c:v>
                </c:pt>
                <c:pt idx="54">
                  <c:v>9</c:v>
                </c:pt>
                <c:pt idx="55">
                  <c:v>9</c:v>
                </c:pt>
                <c:pt idx="57">
                  <c:v>3</c:v>
                </c:pt>
                <c:pt idx="58">
                  <c:v>3</c:v>
                </c:pt>
                <c:pt idx="59">
                  <c:v>6</c:v>
                </c:pt>
                <c:pt idx="60">
                  <c:v>6</c:v>
                </c:pt>
                <c:pt idx="61">
                  <c:v>3</c:v>
                </c:pt>
                <c:pt idx="63">
                  <c:v>4.5</c:v>
                </c:pt>
                <c:pt idx="64">
                  <c:v>4.5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3</c:v>
                </c:pt>
                <c:pt idx="71">
                  <c:v>6</c:v>
                </c:pt>
                <c:pt idx="72">
                  <c:v>10</c:v>
                </c:pt>
                <c:pt idx="73">
                  <c:v>10</c:v>
                </c:pt>
                <c:pt idx="74">
                  <c:v>10</c:v>
                </c:pt>
                <c:pt idx="76">
                  <c:v>3.25</c:v>
                </c:pt>
                <c:pt idx="77">
                  <c:v>3.25</c:v>
                </c:pt>
                <c:pt idx="78">
                  <c:v>5.75</c:v>
                </c:pt>
                <c:pt idx="79">
                  <c:v>5.75</c:v>
                </c:pt>
                <c:pt idx="80">
                  <c:v>3.25</c:v>
                </c:pt>
                <c:pt idx="82">
                  <c:v>4.5</c:v>
                </c:pt>
                <c:pt idx="83">
                  <c:v>4.5</c:v>
                </c:pt>
                <c:pt idx="85">
                  <c:v>2</c:v>
                </c:pt>
                <c:pt idx="86">
                  <c:v>2</c:v>
                </c:pt>
                <c:pt idx="87">
                  <c:v>2</c:v>
                </c:pt>
                <c:pt idx="88">
                  <c:v>3.25</c:v>
                </c:pt>
                <c:pt idx="90">
                  <c:v>5.75</c:v>
                </c:pt>
                <c:pt idx="91">
                  <c:v>8</c:v>
                </c:pt>
                <c:pt idx="92">
                  <c:v>8</c:v>
                </c:pt>
                <c:pt idx="93">
                  <c:v>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A38-46D6-A02A-4A6DCDA252B7}"/>
            </c:ext>
          </c:extLst>
        </c:ser>
        <c:ser>
          <c:idx val="1"/>
          <c:order val="1"/>
          <c:tx>
            <c:v>Медиана</c:v>
          </c:tx>
          <c:spPr>
            <a:ln w="31750">
              <a:solidFill>
                <a:srgbClr val="203D66"/>
              </a:solidFill>
              <a:prstDash val="solid"/>
            </a:ln>
          </c:spPr>
          <c:marker>
            <c:symbol val="none"/>
          </c:marker>
          <c:xVal>
            <c:numRef>
              <c:f>Расчёты_графиков!$U$1260:$U$1273</c:f>
              <c:numCache>
                <c:formatCode>General</c:formatCode>
                <c:ptCount val="14"/>
                <c:pt idx="0">
                  <c:v>0.75</c:v>
                </c:pt>
                <c:pt idx="1">
                  <c:v>1.25</c:v>
                </c:pt>
                <c:pt idx="3">
                  <c:v>1.75</c:v>
                </c:pt>
                <c:pt idx="4">
                  <c:v>2.25</c:v>
                </c:pt>
                <c:pt idx="6">
                  <c:v>2.75</c:v>
                </c:pt>
                <c:pt idx="7">
                  <c:v>3.25</c:v>
                </c:pt>
                <c:pt idx="9">
                  <c:v>3.75</c:v>
                </c:pt>
                <c:pt idx="10">
                  <c:v>4.25</c:v>
                </c:pt>
                <c:pt idx="12">
                  <c:v>4.75</c:v>
                </c:pt>
                <c:pt idx="13">
                  <c:v>5.25</c:v>
                </c:pt>
              </c:numCache>
            </c:numRef>
          </c:xVal>
          <c:yVal>
            <c:numRef>
              <c:f>Расчёты_графиков!$V$1260:$V$1273</c:f>
              <c:numCache>
                <c:formatCode>General</c:formatCode>
                <c:ptCount val="14"/>
                <c:pt idx="0">
                  <c:v>3</c:v>
                </c:pt>
                <c:pt idx="1">
                  <c:v>3</c:v>
                </c:pt>
                <c:pt idx="3">
                  <c:v>4</c:v>
                </c:pt>
                <c:pt idx="4">
                  <c:v>4</c:v>
                </c:pt>
                <c:pt idx="6">
                  <c:v>6</c:v>
                </c:pt>
                <c:pt idx="7">
                  <c:v>6</c:v>
                </c:pt>
                <c:pt idx="9">
                  <c:v>4.5</c:v>
                </c:pt>
                <c:pt idx="10">
                  <c:v>4.5</c:v>
                </c:pt>
                <c:pt idx="12">
                  <c:v>4.5</c:v>
                </c:pt>
                <c:pt idx="13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A38-46D6-A02A-4A6DCDA252B7}"/>
            </c:ext>
          </c:extLst>
        </c:ser>
        <c:ser>
          <c:idx val="2"/>
          <c:order val="2"/>
          <c:tx>
            <c:v>Наблюдения</c:v>
          </c:tx>
          <c:spPr>
            <a:ln>
              <a:noFill/>
              <a:prstDash val="solid"/>
            </a:ln>
          </c:spPr>
          <c:marker>
            <c:symbol val="circle"/>
            <c:size val="5"/>
            <c:spPr>
              <a:solidFill>
                <a:srgbClr val="83969E"/>
              </a:solidFill>
              <a:ln>
                <a:noFill/>
                <a:prstDash val="solid"/>
              </a:ln>
            </c:spPr>
          </c:marker>
          <c:xVal>
            <c:numRef>
              <c:f>Расчёты_графиков!$O$1162:$O$1235</c:f>
              <c:numCache>
                <c:formatCode>General</c:formatCode>
                <c:ptCount val="74"/>
                <c:pt idx="0">
                  <c:v>0.89500000000000002</c:v>
                </c:pt>
                <c:pt idx="1">
                  <c:v>1.895</c:v>
                </c:pt>
                <c:pt idx="2">
                  <c:v>1.895</c:v>
                </c:pt>
                <c:pt idx="3">
                  <c:v>1.895</c:v>
                </c:pt>
                <c:pt idx="4">
                  <c:v>0.89500000000000002</c:v>
                </c:pt>
                <c:pt idx="5">
                  <c:v>0.89500000000000002</c:v>
                </c:pt>
                <c:pt idx="6">
                  <c:v>0.92999999999999994</c:v>
                </c:pt>
                <c:pt idx="7">
                  <c:v>1.93</c:v>
                </c:pt>
                <c:pt idx="8">
                  <c:v>1.895</c:v>
                </c:pt>
                <c:pt idx="9">
                  <c:v>0.89500000000000002</c:v>
                </c:pt>
                <c:pt idx="10">
                  <c:v>1.895</c:v>
                </c:pt>
                <c:pt idx="11">
                  <c:v>0.89500000000000002</c:v>
                </c:pt>
                <c:pt idx="12">
                  <c:v>0.96499999999999997</c:v>
                </c:pt>
                <c:pt idx="13">
                  <c:v>1.93</c:v>
                </c:pt>
                <c:pt idx="14">
                  <c:v>1.895</c:v>
                </c:pt>
                <c:pt idx="15">
                  <c:v>1.895</c:v>
                </c:pt>
                <c:pt idx="16">
                  <c:v>1.93</c:v>
                </c:pt>
                <c:pt idx="17">
                  <c:v>1.895</c:v>
                </c:pt>
                <c:pt idx="18">
                  <c:v>1.93</c:v>
                </c:pt>
                <c:pt idx="19">
                  <c:v>3.895</c:v>
                </c:pt>
                <c:pt idx="20">
                  <c:v>2.895</c:v>
                </c:pt>
                <c:pt idx="21">
                  <c:v>2.895</c:v>
                </c:pt>
                <c:pt idx="22">
                  <c:v>2.93</c:v>
                </c:pt>
                <c:pt idx="23">
                  <c:v>2.895</c:v>
                </c:pt>
                <c:pt idx="24">
                  <c:v>2.895</c:v>
                </c:pt>
                <c:pt idx="25">
                  <c:v>2.93</c:v>
                </c:pt>
                <c:pt idx="26">
                  <c:v>2.9649999999999999</c:v>
                </c:pt>
                <c:pt idx="27">
                  <c:v>2.895</c:v>
                </c:pt>
                <c:pt idx="28">
                  <c:v>3</c:v>
                </c:pt>
                <c:pt idx="29">
                  <c:v>3.895</c:v>
                </c:pt>
                <c:pt idx="30">
                  <c:v>2.93</c:v>
                </c:pt>
                <c:pt idx="31">
                  <c:v>2.9649999999999999</c:v>
                </c:pt>
                <c:pt idx="32">
                  <c:v>2.93</c:v>
                </c:pt>
                <c:pt idx="33">
                  <c:v>2.9649999999999999</c:v>
                </c:pt>
                <c:pt idx="34">
                  <c:v>3.895</c:v>
                </c:pt>
                <c:pt idx="35">
                  <c:v>3</c:v>
                </c:pt>
                <c:pt idx="36">
                  <c:v>3</c:v>
                </c:pt>
                <c:pt idx="37">
                  <c:v>3.93</c:v>
                </c:pt>
                <c:pt idx="38">
                  <c:v>3.0350000000000001</c:v>
                </c:pt>
                <c:pt idx="39">
                  <c:v>3.895</c:v>
                </c:pt>
                <c:pt idx="40">
                  <c:v>2.9649999999999999</c:v>
                </c:pt>
                <c:pt idx="41">
                  <c:v>3.93</c:v>
                </c:pt>
                <c:pt idx="42">
                  <c:v>3</c:v>
                </c:pt>
                <c:pt idx="43">
                  <c:v>3.0350000000000001</c:v>
                </c:pt>
                <c:pt idx="44">
                  <c:v>3.93</c:v>
                </c:pt>
                <c:pt idx="45">
                  <c:v>3.0350000000000001</c:v>
                </c:pt>
                <c:pt idx="46">
                  <c:v>3.895</c:v>
                </c:pt>
                <c:pt idx="47">
                  <c:v>3.07</c:v>
                </c:pt>
                <c:pt idx="48">
                  <c:v>2.93</c:v>
                </c:pt>
                <c:pt idx="49">
                  <c:v>3.07</c:v>
                </c:pt>
                <c:pt idx="50">
                  <c:v>3.105</c:v>
                </c:pt>
                <c:pt idx="51">
                  <c:v>3.9649999999999999</c:v>
                </c:pt>
                <c:pt idx="52">
                  <c:v>2.895</c:v>
                </c:pt>
                <c:pt idx="53">
                  <c:v>3.9649999999999999</c:v>
                </c:pt>
                <c:pt idx="54">
                  <c:v>4</c:v>
                </c:pt>
                <c:pt idx="55">
                  <c:v>3.93</c:v>
                </c:pt>
                <c:pt idx="56">
                  <c:v>3.895</c:v>
                </c:pt>
                <c:pt idx="57">
                  <c:v>3.9649999999999999</c:v>
                </c:pt>
                <c:pt idx="58">
                  <c:v>3.895</c:v>
                </c:pt>
                <c:pt idx="59">
                  <c:v>4.8949999999999996</c:v>
                </c:pt>
                <c:pt idx="60">
                  <c:v>3.93</c:v>
                </c:pt>
                <c:pt idx="61">
                  <c:v>3.895</c:v>
                </c:pt>
                <c:pt idx="62">
                  <c:v>3.9649999999999999</c:v>
                </c:pt>
                <c:pt idx="63">
                  <c:v>4</c:v>
                </c:pt>
                <c:pt idx="64">
                  <c:v>3.93</c:v>
                </c:pt>
                <c:pt idx="65">
                  <c:v>4.8949999999999996</c:v>
                </c:pt>
                <c:pt idx="66">
                  <c:v>4.8949999999999996</c:v>
                </c:pt>
                <c:pt idx="67">
                  <c:v>4</c:v>
                </c:pt>
                <c:pt idx="68">
                  <c:v>3.9649999999999999</c:v>
                </c:pt>
                <c:pt idx="69">
                  <c:v>4.8949999999999996</c:v>
                </c:pt>
                <c:pt idx="70">
                  <c:v>4.8949999999999996</c:v>
                </c:pt>
                <c:pt idx="71">
                  <c:v>4.8949999999999996</c:v>
                </c:pt>
                <c:pt idx="72">
                  <c:v>4.0350000000000001</c:v>
                </c:pt>
                <c:pt idx="73">
                  <c:v>3.895</c:v>
                </c:pt>
              </c:numCache>
            </c:numRef>
          </c:xVal>
          <c:yVal>
            <c:numRef>
              <c:f>Расчёты_графиков!$P$1162:$P$1235</c:f>
              <c:numCache>
                <c:formatCode>General</c:formatCode>
                <c:ptCount val="74"/>
                <c:pt idx="0">
                  <c:v>2</c:v>
                </c:pt>
                <c:pt idx="1">
                  <c:v>8</c:v>
                </c:pt>
                <c:pt idx="2">
                  <c:v>6</c:v>
                </c:pt>
                <c:pt idx="3">
                  <c:v>4</c:v>
                </c:pt>
                <c:pt idx="4">
                  <c:v>3</c:v>
                </c:pt>
                <c:pt idx="5">
                  <c:v>5</c:v>
                </c:pt>
                <c:pt idx="6">
                  <c:v>3</c:v>
                </c:pt>
                <c:pt idx="7">
                  <c:v>4</c:v>
                </c:pt>
                <c:pt idx="8">
                  <c:v>7</c:v>
                </c:pt>
                <c:pt idx="9">
                  <c:v>1</c:v>
                </c:pt>
                <c:pt idx="10">
                  <c:v>2</c:v>
                </c:pt>
                <c:pt idx="11">
                  <c:v>6</c:v>
                </c:pt>
                <c:pt idx="12">
                  <c:v>3</c:v>
                </c:pt>
                <c:pt idx="13">
                  <c:v>6</c:v>
                </c:pt>
                <c:pt idx="14">
                  <c:v>1</c:v>
                </c:pt>
                <c:pt idx="15">
                  <c:v>0</c:v>
                </c:pt>
                <c:pt idx="16">
                  <c:v>2</c:v>
                </c:pt>
                <c:pt idx="17">
                  <c:v>5</c:v>
                </c:pt>
                <c:pt idx="18">
                  <c:v>1</c:v>
                </c:pt>
                <c:pt idx="19">
                  <c:v>4</c:v>
                </c:pt>
                <c:pt idx="20">
                  <c:v>11</c:v>
                </c:pt>
                <c:pt idx="21">
                  <c:v>7</c:v>
                </c:pt>
                <c:pt idx="22">
                  <c:v>7</c:v>
                </c:pt>
                <c:pt idx="23">
                  <c:v>6</c:v>
                </c:pt>
                <c:pt idx="24">
                  <c:v>4</c:v>
                </c:pt>
                <c:pt idx="25">
                  <c:v>6</c:v>
                </c:pt>
                <c:pt idx="26">
                  <c:v>7</c:v>
                </c:pt>
                <c:pt idx="27">
                  <c:v>5</c:v>
                </c:pt>
                <c:pt idx="28">
                  <c:v>7</c:v>
                </c:pt>
                <c:pt idx="29">
                  <c:v>3</c:v>
                </c:pt>
                <c:pt idx="30">
                  <c:v>4</c:v>
                </c:pt>
                <c:pt idx="31">
                  <c:v>4</c:v>
                </c:pt>
                <c:pt idx="32">
                  <c:v>5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4</c:v>
                </c:pt>
                <c:pt idx="37">
                  <c:v>3</c:v>
                </c:pt>
                <c:pt idx="38">
                  <c:v>6</c:v>
                </c:pt>
                <c:pt idx="39">
                  <c:v>2</c:v>
                </c:pt>
                <c:pt idx="40">
                  <c:v>5</c:v>
                </c:pt>
                <c:pt idx="41">
                  <c:v>4</c:v>
                </c:pt>
                <c:pt idx="42">
                  <c:v>5</c:v>
                </c:pt>
                <c:pt idx="43">
                  <c:v>5</c:v>
                </c:pt>
                <c:pt idx="44">
                  <c:v>2</c:v>
                </c:pt>
                <c:pt idx="45">
                  <c:v>4</c:v>
                </c:pt>
                <c:pt idx="46">
                  <c:v>5</c:v>
                </c:pt>
                <c:pt idx="47">
                  <c:v>6</c:v>
                </c:pt>
                <c:pt idx="48">
                  <c:v>11</c:v>
                </c:pt>
                <c:pt idx="49">
                  <c:v>5</c:v>
                </c:pt>
                <c:pt idx="50">
                  <c:v>5</c:v>
                </c:pt>
                <c:pt idx="51">
                  <c:v>3</c:v>
                </c:pt>
                <c:pt idx="52">
                  <c:v>9</c:v>
                </c:pt>
                <c:pt idx="53">
                  <c:v>4</c:v>
                </c:pt>
                <c:pt idx="54">
                  <c:v>4</c:v>
                </c:pt>
                <c:pt idx="55">
                  <c:v>5</c:v>
                </c:pt>
                <c:pt idx="56">
                  <c:v>0</c:v>
                </c:pt>
                <c:pt idx="57">
                  <c:v>2</c:v>
                </c:pt>
                <c:pt idx="58">
                  <c:v>10</c:v>
                </c:pt>
                <c:pt idx="59">
                  <c:v>2</c:v>
                </c:pt>
                <c:pt idx="60">
                  <c:v>6</c:v>
                </c:pt>
                <c:pt idx="61">
                  <c:v>7</c:v>
                </c:pt>
                <c:pt idx="62">
                  <c:v>5</c:v>
                </c:pt>
                <c:pt idx="63">
                  <c:v>3</c:v>
                </c:pt>
                <c:pt idx="64">
                  <c:v>7</c:v>
                </c:pt>
                <c:pt idx="65">
                  <c:v>5</c:v>
                </c:pt>
                <c:pt idx="66">
                  <c:v>8</c:v>
                </c:pt>
                <c:pt idx="67">
                  <c:v>5</c:v>
                </c:pt>
                <c:pt idx="68">
                  <c:v>7</c:v>
                </c:pt>
                <c:pt idx="69">
                  <c:v>6</c:v>
                </c:pt>
                <c:pt idx="70">
                  <c:v>4</c:v>
                </c:pt>
                <c:pt idx="71">
                  <c:v>3</c:v>
                </c:pt>
                <c:pt idx="72">
                  <c:v>5</c:v>
                </c:pt>
                <c:pt idx="73">
                  <c:v>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A38-46D6-A02A-4A6DCDA252B7}"/>
            </c:ext>
          </c:extLst>
        </c:ser>
        <c:ser>
          <c:idx val="3"/>
          <c:order val="3"/>
          <c:tx>
            <c:v>Среднее по группе</c:v>
          </c:tx>
          <c:spPr>
            <a:ln w="31750">
              <a:solidFill>
                <a:srgbClr val="D83E50"/>
              </a:solidFill>
              <a:prstDash val="solid"/>
            </a:ln>
          </c:spPr>
          <c:marker>
            <c:symbol val="diamond"/>
            <c:size val="9"/>
            <c:spPr>
              <a:solidFill>
                <a:srgbClr val="D83E50"/>
              </a:solidFill>
              <a:ln>
                <a:noFill/>
                <a:prstDash val="solid"/>
              </a:ln>
            </c:spPr>
          </c:marker>
          <c:xVal>
            <c:numRef>
              <c:f>Расчёты_графиков!$E$1240:$I$1240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Расчёты_графиков!$E$1242:$I$1242</c:f>
              <c:numCache>
                <c:formatCode>0.00</c:formatCode>
                <c:ptCount val="5"/>
                <c:pt idx="0">
                  <c:v>3.2857142857142856</c:v>
                </c:pt>
                <c:pt idx="1">
                  <c:v>3.8333333333333335</c:v>
                </c:pt>
                <c:pt idx="2">
                  <c:v>6</c:v>
                </c:pt>
                <c:pt idx="3">
                  <c:v>4.625</c:v>
                </c:pt>
                <c:pt idx="4">
                  <c:v>4.666666666666667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A38-46D6-A02A-4A6DCDA252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ax val="6"/>
          <c:min val="0"/>
        </c:scaling>
        <c:delete val="0"/>
        <c:axPos val="b"/>
        <c:title>
          <c:tx>
            <c:strRef>
              <c:f>Спирман_графики!$D$168</c:f>
              <c:strCache>
                <c:ptCount val="1"/>
                <c:pt idx="0">
                  <c:v>Л1</c:v>
                </c:pt>
              </c:strCache>
            </c:strRef>
          </c:tx>
          <c:overlay val="0"/>
          <c:txPr>
            <a:bodyPr/>
            <a:lstStyle/>
            <a:p>
              <a:pPr>
                <a:defRPr sz="1100" b="1">
                  <a:solidFill>
                    <a:srgbClr val="263746"/>
                  </a:solidFill>
                  <a:latin typeface="Arial"/>
                </a:defRPr>
              </a:pPr>
              <a:endParaRPr lang="ru-RU"/>
            </a:p>
          </c:txPr>
        </c:title>
        <c:numFmt formatCode="[&lt;1]&quot;&quot;;[&gt;5]&quot;&quot;;0" sourceLinked="0"/>
        <c:majorTickMark val="out"/>
        <c:minorTickMark val="none"/>
        <c:tickLblPos val="low"/>
        <c:spPr>
          <a:ln w="9525">
            <a:solidFill>
              <a:srgbClr val="263746"/>
            </a:solidFill>
            <a:prstDash val="solid"/>
          </a:ln>
        </c:spPr>
        <c:txPr>
          <a:bodyPr/>
          <a:lstStyle/>
          <a:p>
            <a:pPr>
              <a:defRPr sz="1000" b="0">
                <a:solidFill>
                  <a:srgbClr val="263746"/>
                </a:solidFill>
                <a:latin typeface="Arial"/>
              </a:defRPr>
            </a:pPr>
            <a:endParaRPr lang="ru-RU"/>
          </a:p>
        </c:txPr>
        <c:crossAx val="20"/>
        <c:crosses val="autoZero"/>
        <c:crossBetween val="midCat"/>
        <c:majorUnit val="1"/>
      </c:valAx>
      <c:valAx>
        <c:axId val="20"/>
        <c:scaling>
          <c:orientation val="minMax"/>
          <c:max val="15"/>
          <c:min val="0"/>
        </c:scaling>
        <c:delete val="0"/>
        <c:axPos val="l"/>
        <c:majorGridlines>
          <c:spPr>
            <a:ln w="6350">
              <a:solidFill>
                <a:srgbClr val="E4E9EC"/>
              </a:solidFill>
              <a:prstDash val="solid"/>
            </a:ln>
          </c:spPr>
        </c:majorGridlines>
        <c:title>
          <c:tx>
            <c:strRef>
              <c:f>Спирман_графики!$J$168</c:f>
              <c:strCache>
                <c:ptCount val="1"/>
                <c:pt idx="0">
                  <c:v>ТК3</c:v>
                </c:pt>
              </c:strCache>
            </c:strRef>
          </c:tx>
          <c:overlay val="0"/>
          <c:txPr>
            <a:bodyPr/>
            <a:lstStyle/>
            <a:p>
              <a:pPr>
                <a:defRPr sz="1100" b="1">
                  <a:solidFill>
                    <a:srgbClr val="263746"/>
                  </a:solidFill>
                  <a:latin typeface="Arial"/>
                </a:defRPr>
              </a:pPr>
              <a:endParaRPr lang="ru-RU"/>
            </a:p>
          </c:txPr>
        </c:title>
        <c:numFmt formatCode="0" sourceLinked="0"/>
        <c:majorTickMark val="out"/>
        <c:minorTickMark val="none"/>
        <c:tickLblPos val="low"/>
        <c:spPr>
          <a:ln w="9525">
            <a:solidFill>
              <a:srgbClr val="263746"/>
            </a:solidFill>
            <a:prstDash val="solid"/>
          </a:ln>
        </c:spPr>
        <c:txPr>
          <a:bodyPr/>
          <a:lstStyle/>
          <a:p>
            <a:pPr>
              <a:defRPr sz="1000" b="0">
                <a:solidFill>
                  <a:srgbClr val="263746"/>
                </a:solidFill>
                <a:latin typeface="Arial"/>
              </a:defRPr>
            </a:pPr>
            <a:endParaRPr lang="ru-RU"/>
          </a:p>
        </c:txPr>
        <c:crossAx val="10"/>
        <c:crosses val="autoZero"/>
        <c:crossBetween val="midCat"/>
        <c:majorUnit val="2"/>
      </c:valAx>
      <c:spPr>
        <a:solidFill>
          <a:srgbClr val="FFFFFF"/>
        </a:solidFill>
        <a:ln>
          <a:prstDash val="solid"/>
        </a:ln>
      </c:spPr>
    </c:plotArea>
    <c:legend>
      <c:legendPos val="b"/>
      <c:overlay val="0"/>
      <c:txPr>
        <a:bodyPr/>
        <a:lstStyle/>
        <a:p>
          <a:pPr>
            <a:defRPr sz="950" b="0">
              <a:solidFill>
                <a:srgbClr val="263746"/>
              </a:solidFill>
              <a:latin typeface="Arial"/>
            </a:defRPr>
          </a:pPr>
          <a:endParaRPr lang="ru-RU"/>
        </a:p>
      </c:txPr>
    </c:legend>
    <c:plotVisOnly val="1"/>
    <c:dispBlanksAs val="gap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strRef>
          <c:f>Расчёты_графиков!$B$1485</c:f>
          <c:strCache>
            <c:ptCount val="1"/>
            <c:pt idx="0">
              <c:v>ТК4 в зависимости от Л1
ρ = −0,102; p = 0,3880; n = 74</c:v>
            </c:pt>
          </c:strCache>
        </c:strRef>
      </c:tx>
      <c:overlay val="0"/>
      <c:txPr>
        <a:bodyPr/>
        <a:lstStyle/>
        <a:p>
          <a:pPr>
            <a:defRPr sz="1200" b="0">
              <a:solidFill>
                <a:srgbClr val="263746"/>
              </a:solidFill>
              <a:latin typeface="Arial"/>
            </a:defRPr>
          </a:pPr>
          <a:endParaRPr lang="ru-RU"/>
        </a:p>
      </c:txPr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Межквартильный размах и усы</c:v>
          </c:tx>
          <c:spPr>
            <a:ln w="22860">
              <a:solidFill>
                <a:srgbClr val="326A8D"/>
              </a:solidFill>
              <a:prstDash val="solid"/>
            </a:ln>
          </c:spPr>
          <c:marker>
            <c:symbol val="none"/>
          </c:marker>
          <c:xVal>
            <c:numRef>
              <c:f>Расчёты_графиков!$A$1490:$A$1583</c:f>
              <c:numCache>
                <c:formatCode>General</c:formatCode>
                <c:ptCount val="94"/>
                <c:pt idx="0">
                  <c:v>0.75</c:v>
                </c:pt>
                <c:pt idx="1">
                  <c:v>1.25</c:v>
                </c:pt>
                <c:pt idx="2">
                  <c:v>1.25</c:v>
                </c:pt>
                <c:pt idx="3">
                  <c:v>0.75</c:v>
                </c:pt>
                <c:pt idx="4">
                  <c:v>0.75</c:v>
                </c:pt>
                <c:pt idx="6">
                  <c:v>0.75</c:v>
                </c:pt>
                <c:pt idx="7">
                  <c:v>1.25</c:v>
                </c:pt>
                <c:pt idx="9">
                  <c:v>0.87</c:v>
                </c:pt>
                <c:pt idx="10">
                  <c:v>1.1299999999999999</c:v>
                </c:pt>
                <c:pt idx="11">
                  <c:v>1</c:v>
                </c:pt>
                <c:pt idx="12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0.87</c:v>
                </c:pt>
                <c:pt idx="17">
                  <c:v>1.1299999999999999</c:v>
                </c:pt>
                <c:pt idx="19">
                  <c:v>1.75</c:v>
                </c:pt>
                <c:pt idx="20">
                  <c:v>2.25</c:v>
                </c:pt>
                <c:pt idx="21">
                  <c:v>2.25</c:v>
                </c:pt>
                <c:pt idx="22">
                  <c:v>1.75</c:v>
                </c:pt>
                <c:pt idx="23">
                  <c:v>1.75</c:v>
                </c:pt>
                <c:pt idx="25">
                  <c:v>1.75</c:v>
                </c:pt>
                <c:pt idx="26">
                  <c:v>2.25</c:v>
                </c:pt>
                <c:pt idx="28">
                  <c:v>1.87</c:v>
                </c:pt>
                <c:pt idx="29">
                  <c:v>2.13</c:v>
                </c:pt>
                <c:pt idx="30">
                  <c:v>2</c:v>
                </c:pt>
                <c:pt idx="31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1.87</c:v>
                </c:pt>
                <c:pt idx="36">
                  <c:v>2.13</c:v>
                </c:pt>
                <c:pt idx="38">
                  <c:v>2.75</c:v>
                </c:pt>
                <c:pt idx="39">
                  <c:v>3.25</c:v>
                </c:pt>
                <c:pt idx="40">
                  <c:v>3.25</c:v>
                </c:pt>
                <c:pt idx="41">
                  <c:v>2.75</c:v>
                </c:pt>
                <c:pt idx="42">
                  <c:v>2.75</c:v>
                </c:pt>
                <c:pt idx="44">
                  <c:v>2.75</c:v>
                </c:pt>
                <c:pt idx="45">
                  <c:v>3.25</c:v>
                </c:pt>
                <c:pt idx="47">
                  <c:v>2.87</c:v>
                </c:pt>
                <c:pt idx="48">
                  <c:v>3.13</c:v>
                </c:pt>
                <c:pt idx="49">
                  <c:v>3</c:v>
                </c:pt>
                <c:pt idx="50">
                  <c:v>3</c:v>
                </c:pt>
                <c:pt idx="52">
                  <c:v>3</c:v>
                </c:pt>
                <c:pt idx="53">
                  <c:v>3</c:v>
                </c:pt>
                <c:pt idx="54">
                  <c:v>2.87</c:v>
                </c:pt>
                <c:pt idx="55">
                  <c:v>3.13</c:v>
                </c:pt>
                <c:pt idx="57">
                  <c:v>3.75</c:v>
                </c:pt>
                <c:pt idx="58">
                  <c:v>4.25</c:v>
                </c:pt>
                <c:pt idx="59">
                  <c:v>4.25</c:v>
                </c:pt>
                <c:pt idx="60">
                  <c:v>3.75</c:v>
                </c:pt>
                <c:pt idx="61">
                  <c:v>3.75</c:v>
                </c:pt>
                <c:pt idx="63">
                  <c:v>3.75</c:v>
                </c:pt>
                <c:pt idx="64">
                  <c:v>4.25</c:v>
                </c:pt>
                <c:pt idx="66">
                  <c:v>3.87</c:v>
                </c:pt>
                <c:pt idx="67">
                  <c:v>4.13</c:v>
                </c:pt>
                <c:pt idx="68">
                  <c:v>4</c:v>
                </c:pt>
                <c:pt idx="69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3.87</c:v>
                </c:pt>
                <c:pt idx="74">
                  <c:v>4.13</c:v>
                </c:pt>
                <c:pt idx="76">
                  <c:v>4.75</c:v>
                </c:pt>
                <c:pt idx="77">
                  <c:v>5.25</c:v>
                </c:pt>
                <c:pt idx="78">
                  <c:v>5.25</c:v>
                </c:pt>
                <c:pt idx="79">
                  <c:v>4.75</c:v>
                </c:pt>
                <c:pt idx="80">
                  <c:v>4.75</c:v>
                </c:pt>
                <c:pt idx="82">
                  <c:v>4.75</c:v>
                </c:pt>
                <c:pt idx="83">
                  <c:v>5.25</c:v>
                </c:pt>
                <c:pt idx="85">
                  <c:v>4.87</c:v>
                </c:pt>
                <c:pt idx="86">
                  <c:v>5.13</c:v>
                </c:pt>
                <c:pt idx="87">
                  <c:v>5</c:v>
                </c:pt>
                <c:pt idx="88">
                  <c:v>5</c:v>
                </c:pt>
                <c:pt idx="90">
                  <c:v>5</c:v>
                </c:pt>
                <c:pt idx="91">
                  <c:v>5</c:v>
                </c:pt>
                <c:pt idx="92">
                  <c:v>4.87</c:v>
                </c:pt>
                <c:pt idx="93">
                  <c:v>5.13</c:v>
                </c:pt>
              </c:numCache>
            </c:numRef>
          </c:xVal>
          <c:yVal>
            <c:numRef>
              <c:f>Расчёты_графиков!$B$1490:$B$1583</c:f>
              <c:numCache>
                <c:formatCode>General</c:formatCode>
                <c:ptCount val="94"/>
                <c:pt idx="0">
                  <c:v>3</c:v>
                </c:pt>
                <c:pt idx="1">
                  <c:v>3</c:v>
                </c:pt>
                <c:pt idx="2">
                  <c:v>5.5</c:v>
                </c:pt>
                <c:pt idx="3">
                  <c:v>5.5</c:v>
                </c:pt>
                <c:pt idx="4">
                  <c:v>3</c:v>
                </c:pt>
                <c:pt idx="6">
                  <c:v>3</c:v>
                </c:pt>
                <c:pt idx="7">
                  <c:v>3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3</c:v>
                </c:pt>
                <c:pt idx="14">
                  <c:v>5.5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9">
                  <c:v>4</c:v>
                </c:pt>
                <c:pt idx="20">
                  <c:v>4</c:v>
                </c:pt>
                <c:pt idx="21">
                  <c:v>6</c:v>
                </c:pt>
                <c:pt idx="22">
                  <c:v>6</c:v>
                </c:pt>
                <c:pt idx="23">
                  <c:v>4</c:v>
                </c:pt>
                <c:pt idx="25">
                  <c:v>5</c:v>
                </c:pt>
                <c:pt idx="26">
                  <c:v>5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4</c:v>
                </c:pt>
                <c:pt idx="33">
                  <c:v>6</c:v>
                </c:pt>
                <c:pt idx="34">
                  <c:v>9</c:v>
                </c:pt>
                <c:pt idx="35">
                  <c:v>9</c:v>
                </c:pt>
                <c:pt idx="36">
                  <c:v>9</c:v>
                </c:pt>
                <c:pt idx="38">
                  <c:v>1</c:v>
                </c:pt>
                <c:pt idx="39">
                  <c:v>1</c:v>
                </c:pt>
                <c:pt idx="40">
                  <c:v>6</c:v>
                </c:pt>
                <c:pt idx="41">
                  <c:v>6</c:v>
                </c:pt>
                <c:pt idx="42">
                  <c:v>1</c:v>
                </c:pt>
                <c:pt idx="44">
                  <c:v>3</c:v>
                </c:pt>
                <c:pt idx="45">
                  <c:v>3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2">
                  <c:v>6</c:v>
                </c:pt>
                <c:pt idx="53">
                  <c:v>10</c:v>
                </c:pt>
                <c:pt idx="54">
                  <c:v>10</c:v>
                </c:pt>
                <c:pt idx="55">
                  <c:v>10</c:v>
                </c:pt>
                <c:pt idx="57">
                  <c:v>2</c:v>
                </c:pt>
                <c:pt idx="58">
                  <c:v>2</c:v>
                </c:pt>
                <c:pt idx="59">
                  <c:v>5</c:v>
                </c:pt>
                <c:pt idx="60">
                  <c:v>5</c:v>
                </c:pt>
                <c:pt idx="61">
                  <c:v>2</c:v>
                </c:pt>
                <c:pt idx="63">
                  <c:v>3</c:v>
                </c:pt>
                <c:pt idx="64">
                  <c:v>3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2</c:v>
                </c:pt>
                <c:pt idx="71">
                  <c:v>5</c:v>
                </c:pt>
                <c:pt idx="72">
                  <c:v>9</c:v>
                </c:pt>
                <c:pt idx="73">
                  <c:v>9</c:v>
                </c:pt>
                <c:pt idx="74">
                  <c:v>9</c:v>
                </c:pt>
                <c:pt idx="76">
                  <c:v>4</c:v>
                </c:pt>
                <c:pt idx="77">
                  <c:v>4</c:v>
                </c:pt>
                <c:pt idx="78">
                  <c:v>7.25</c:v>
                </c:pt>
                <c:pt idx="79">
                  <c:v>7.25</c:v>
                </c:pt>
                <c:pt idx="80">
                  <c:v>4</c:v>
                </c:pt>
                <c:pt idx="82">
                  <c:v>4.5</c:v>
                </c:pt>
                <c:pt idx="83">
                  <c:v>4.5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4</c:v>
                </c:pt>
                <c:pt idx="90">
                  <c:v>7.25</c:v>
                </c:pt>
                <c:pt idx="91">
                  <c:v>11</c:v>
                </c:pt>
                <c:pt idx="92">
                  <c:v>11</c:v>
                </c:pt>
                <c:pt idx="93">
                  <c:v>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D86-47C0-9F92-FF25FEF721EC}"/>
            </c:ext>
          </c:extLst>
        </c:ser>
        <c:ser>
          <c:idx val="1"/>
          <c:order val="1"/>
          <c:tx>
            <c:v>Медиана</c:v>
          </c:tx>
          <c:spPr>
            <a:ln w="31750">
              <a:solidFill>
                <a:srgbClr val="203D66"/>
              </a:solidFill>
              <a:prstDash val="solid"/>
            </a:ln>
          </c:spPr>
          <c:marker>
            <c:symbol val="none"/>
          </c:marker>
          <c:xVal>
            <c:numRef>
              <c:f>Расчёты_графиков!$U$1490:$U$1503</c:f>
              <c:numCache>
                <c:formatCode>General</c:formatCode>
                <c:ptCount val="14"/>
                <c:pt idx="0">
                  <c:v>0.75</c:v>
                </c:pt>
                <c:pt idx="1">
                  <c:v>1.25</c:v>
                </c:pt>
                <c:pt idx="3">
                  <c:v>1.75</c:v>
                </c:pt>
                <c:pt idx="4">
                  <c:v>2.25</c:v>
                </c:pt>
                <c:pt idx="6">
                  <c:v>2.75</c:v>
                </c:pt>
                <c:pt idx="7">
                  <c:v>3.25</c:v>
                </c:pt>
                <c:pt idx="9">
                  <c:v>3.75</c:v>
                </c:pt>
                <c:pt idx="10">
                  <c:v>4.25</c:v>
                </c:pt>
                <c:pt idx="12">
                  <c:v>4.75</c:v>
                </c:pt>
                <c:pt idx="13">
                  <c:v>5.25</c:v>
                </c:pt>
              </c:numCache>
            </c:numRef>
          </c:xVal>
          <c:yVal>
            <c:numRef>
              <c:f>Расчёты_графиков!$V$1490:$V$1503</c:f>
              <c:numCache>
                <c:formatCode>General</c:formatCode>
                <c:ptCount val="14"/>
                <c:pt idx="0">
                  <c:v>3</c:v>
                </c:pt>
                <c:pt idx="1">
                  <c:v>3</c:v>
                </c:pt>
                <c:pt idx="3">
                  <c:v>5</c:v>
                </c:pt>
                <c:pt idx="4">
                  <c:v>5</c:v>
                </c:pt>
                <c:pt idx="6">
                  <c:v>3</c:v>
                </c:pt>
                <c:pt idx="7">
                  <c:v>3</c:v>
                </c:pt>
                <c:pt idx="9">
                  <c:v>3</c:v>
                </c:pt>
                <c:pt idx="10">
                  <c:v>3</c:v>
                </c:pt>
                <c:pt idx="12">
                  <c:v>4.5</c:v>
                </c:pt>
                <c:pt idx="13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D86-47C0-9F92-FF25FEF721EC}"/>
            </c:ext>
          </c:extLst>
        </c:ser>
        <c:ser>
          <c:idx val="2"/>
          <c:order val="2"/>
          <c:tx>
            <c:v>Наблюдения</c:v>
          </c:tx>
          <c:spPr>
            <a:ln>
              <a:noFill/>
              <a:prstDash val="solid"/>
            </a:ln>
          </c:spPr>
          <c:marker>
            <c:symbol val="circle"/>
            <c:size val="5"/>
            <c:spPr>
              <a:solidFill>
                <a:srgbClr val="83969E"/>
              </a:solidFill>
              <a:ln>
                <a:noFill/>
                <a:prstDash val="solid"/>
              </a:ln>
            </c:spPr>
          </c:marker>
          <c:xVal>
            <c:numRef>
              <c:f>Расчёты_графиков!$O$1392:$O$1465</c:f>
              <c:numCache>
                <c:formatCode>General</c:formatCode>
                <c:ptCount val="74"/>
                <c:pt idx="0">
                  <c:v>0.89500000000000002</c:v>
                </c:pt>
                <c:pt idx="1">
                  <c:v>1.895</c:v>
                </c:pt>
                <c:pt idx="2">
                  <c:v>1.895</c:v>
                </c:pt>
                <c:pt idx="3">
                  <c:v>1.895</c:v>
                </c:pt>
                <c:pt idx="4">
                  <c:v>0.89500000000000002</c:v>
                </c:pt>
                <c:pt idx="5">
                  <c:v>0.92999999999999994</c:v>
                </c:pt>
                <c:pt idx="6">
                  <c:v>0.89500000000000002</c:v>
                </c:pt>
                <c:pt idx="7">
                  <c:v>1.895</c:v>
                </c:pt>
                <c:pt idx="8">
                  <c:v>1.895</c:v>
                </c:pt>
                <c:pt idx="9">
                  <c:v>0.89500000000000002</c:v>
                </c:pt>
                <c:pt idx="10">
                  <c:v>1.93</c:v>
                </c:pt>
                <c:pt idx="11">
                  <c:v>0.89500000000000002</c:v>
                </c:pt>
                <c:pt idx="12">
                  <c:v>0.96499999999999997</c:v>
                </c:pt>
                <c:pt idx="13">
                  <c:v>1.9650000000000001</c:v>
                </c:pt>
                <c:pt idx="14">
                  <c:v>1.895</c:v>
                </c:pt>
                <c:pt idx="15">
                  <c:v>1.93</c:v>
                </c:pt>
                <c:pt idx="16">
                  <c:v>1.93</c:v>
                </c:pt>
                <c:pt idx="17">
                  <c:v>1.895</c:v>
                </c:pt>
                <c:pt idx="18">
                  <c:v>1.9650000000000001</c:v>
                </c:pt>
                <c:pt idx="19">
                  <c:v>3.895</c:v>
                </c:pt>
                <c:pt idx="20">
                  <c:v>2.895</c:v>
                </c:pt>
                <c:pt idx="21">
                  <c:v>2.93</c:v>
                </c:pt>
                <c:pt idx="22">
                  <c:v>2.895</c:v>
                </c:pt>
                <c:pt idx="23">
                  <c:v>2.895</c:v>
                </c:pt>
                <c:pt idx="24">
                  <c:v>2.895</c:v>
                </c:pt>
                <c:pt idx="25">
                  <c:v>2.895</c:v>
                </c:pt>
                <c:pt idx="26">
                  <c:v>2.93</c:v>
                </c:pt>
                <c:pt idx="27">
                  <c:v>2.895</c:v>
                </c:pt>
                <c:pt idx="28">
                  <c:v>2.895</c:v>
                </c:pt>
                <c:pt idx="29">
                  <c:v>3.895</c:v>
                </c:pt>
                <c:pt idx="30">
                  <c:v>2.93</c:v>
                </c:pt>
                <c:pt idx="31">
                  <c:v>2.9649999999999999</c:v>
                </c:pt>
                <c:pt idx="32">
                  <c:v>2.93</c:v>
                </c:pt>
                <c:pt idx="33">
                  <c:v>2.9649999999999999</c:v>
                </c:pt>
                <c:pt idx="34">
                  <c:v>3.895</c:v>
                </c:pt>
                <c:pt idx="35">
                  <c:v>3</c:v>
                </c:pt>
                <c:pt idx="36">
                  <c:v>2.895</c:v>
                </c:pt>
                <c:pt idx="37">
                  <c:v>3.93</c:v>
                </c:pt>
                <c:pt idx="38">
                  <c:v>2.9649999999999999</c:v>
                </c:pt>
                <c:pt idx="39">
                  <c:v>3.895</c:v>
                </c:pt>
                <c:pt idx="40">
                  <c:v>2.93</c:v>
                </c:pt>
                <c:pt idx="41">
                  <c:v>3.895</c:v>
                </c:pt>
                <c:pt idx="42">
                  <c:v>3</c:v>
                </c:pt>
                <c:pt idx="43">
                  <c:v>2.895</c:v>
                </c:pt>
                <c:pt idx="44">
                  <c:v>3.895</c:v>
                </c:pt>
                <c:pt idx="45">
                  <c:v>2.895</c:v>
                </c:pt>
                <c:pt idx="46">
                  <c:v>3.93</c:v>
                </c:pt>
                <c:pt idx="47">
                  <c:v>3.0350000000000001</c:v>
                </c:pt>
                <c:pt idx="48">
                  <c:v>2.93</c:v>
                </c:pt>
                <c:pt idx="49">
                  <c:v>3</c:v>
                </c:pt>
                <c:pt idx="50">
                  <c:v>3.0350000000000001</c:v>
                </c:pt>
                <c:pt idx="51">
                  <c:v>3.895</c:v>
                </c:pt>
                <c:pt idx="52">
                  <c:v>2.93</c:v>
                </c:pt>
                <c:pt idx="53">
                  <c:v>3.93</c:v>
                </c:pt>
                <c:pt idx="54">
                  <c:v>3.9649999999999999</c:v>
                </c:pt>
                <c:pt idx="55">
                  <c:v>3.895</c:v>
                </c:pt>
                <c:pt idx="56">
                  <c:v>3.93</c:v>
                </c:pt>
                <c:pt idx="57">
                  <c:v>3.9649999999999999</c:v>
                </c:pt>
                <c:pt idx="58">
                  <c:v>3.93</c:v>
                </c:pt>
                <c:pt idx="59">
                  <c:v>4.8949999999999996</c:v>
                </c:pt>
                <c:pt idx="60">
                  <c:v>3.895</c:v>
                </c:pt>
                <c:pt idx="61">
                  <c:v>3.9649999999999999</c:v>
                </c:pt>
                <c:pt idx="62">
                  <c:v>3.93</c:v>
                </c:pt>
                <c:pt idx="63">
                  <c:v>3.9649999999999999</c:v>
                </c:pt>
                <c:pt idx="64">
                  <c:v>3.93</c:v>
                </c:pt>
                <c:pt idx="65">
                  <c:v>4.8949999999999996</c:v>
                </c:pt>
                <c:pt idx="66">
                  <c:v>4.8949999999999996</c:v>
                </c:pt>
                <c:pt idx="67">
                  <c:v>4</c:v>
                </c:pt>
                <c:pt idx="68">
                  <c:v>4.0350000000000001</c:v>
                </c:pt>
                <c:pt idx="69">
                  <c:v>4.8949999999999996</c:v>
                </c:pt>
                <c:pt idx="70">
                  <c:v>4.93</c:v>
                </c:pt>
                <c:pt idx="71">
                  <c:v>4.8949999999999996</c:v>
                </c:pt>
                <c:pt idx="72">
                  <c:v>4.07</c:v>
                </c:pt>
                <c:pt idx="73">
                  <c:v>4.1050000000000004</c:v>
                </c:pt>
              </c:numCache>
            </c:numRef>
          </c:xVal>
          <c:yVal>
            <c:numRef>
              <c:f>Расчёты_графиков!$P$1392:$P$1465</c:f>
              <c:numCache>
                <c:formatCode>General</c:formatCode>
                <c:ptCount val="74"/>
                <c:pt idx="0">
                  <c:v>3</c:v>
                </c:pt>
                <c:pt idx="1">
                  <c:v>1</c:v>
                </c:pt>
                <c:pt idx="2">
                  <c:v>4</c:v>
                </c:pt>
                <c:pt idx="3">
                  <c:v>2</c:v>
                </c:pt>
                <c:pt idx="4">
                  <c:v>5</c:v>
                </c:pt>
                <c:pt idx="5">
                  <c:v>3</c:v>
                </c:pt>
                <c:pt idx="6">
                  <c:v>11</c:v>
                </c:pt>
                <c:pt idx="7">
                  <c:v>6</c:v>
                </c:pt>
                <c:pt idx="8">
                  <c:v>5</c:v>
                </c:pt>
                <c:pt idx="9">
                  <c:v>6</c:v>
                </c:pt>
                <c:pt idx="10">
                  <c:v>6</c:v>
                </c:pt>
                <c:pt idx="11">
                  <c:v>2</c:v>
                </c:pt>
                <c:pt idx="12">
                  <c:v>3</c:v>
                </c:pt>
                <c:pt idx="13">
                  <c:v>6</c:v>
                </c:pt>
                <c:pt idx="14">
                  <c:v>9</c:v>
                </c:pt>
                <c:pt idx="15">
                  <c:v>4</c:v>
                </c:pt>
                <c:pt idx="16">
                  <c:v>5</c:v>
                </c:pt>
                <c:pt idx="17">
                  <c:v>8</c:v>
                </c:pt>
                <c:pt idx="18">
                  <c:v>4</c:v>
                </c:pt>
                <c:pt idx="19">
                  <c:v>9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5</c:v>
                </c:pt>
                <c:pt idx="24">
                  <c:v>7</c:v>
                </c:pt>
                <c:pt idx="25">
                  <c:v>6</c:v>
                </c:pt>
                <c:pt idx="26">
                  <c:v>0</c:v>
                </c:pt>
                <c:pt idx="27">
                  <c:v>3</c:v>
                </c:pt>
                <c:pt idx="28">
                  <c:v>2</c:v>
                </c:pt>
                <c:pt idx="29">
                  <c:v>3</c:v>
                </c:pt>
                <c:pt idx="30">
                  <c:v>7</c:v>
                </c:pt>
                <c:pt idx="31">
                  <c:v>7</c:v>
                </c:pt>
                <c:pt idx="32">
                  <c:v>3</c:v>
                </c:pt>
                <c:pt idx="33">
                  <c:v>3</c:v>
                </c:pt>
                <c:pt idx="34">
                  <c:v>2</c:v>
                </c:pt>
                <c:pt idx="35">
                  <c:v>7</c:v>
                </c:pt>
                <c:pt idx="36">
                  <c:v>10</c:v>
                </c:pt>
                <c:pt idx="37">
                  <c:v>9</c:v>
                </c:pt>
                <c:pt idx="38">
                  <c:v>1</c:v>
                </c:pt>
                <c:pt idx="39">
                  <c:v>7</c:v>
                </c:pt>
                <c:pt idx="40">
                  <c:v>5</c:v>
                </c:pt>
                <c:pt idx="41">
                  <c:v>4</c:v>
                </c:pt>
                <c:pt idx="42">
                  <c:v>3</c:v>
                </c:pt>
                <c:pt idx="43">
                  <c:v>4</c:v>
                </c:pt>
                <c:pt idx="44">
                  <c:v>5</c:v>
                </c:pt>
                <c:pt idx="45">
                  <c:v>8</c:v>
                </c:pt>
                <c:pt idx="46">
                  <c:v>2</c:v>
                </c:pt>
                <c:pt idx="47">
                  <c:v>3</c:v>
                </c:pt>
                <c:pt idx="48">
                  <c:v>6</c:v>
                </c:pt>
                <c:pt idx="49">
                  <c:v>1</c:v>
                </c:pt>
                <c:pt idx="50">
                  <c:v>1</c:v>
                </c:pt>
                <c:pt idx="51">
                  <c:v>12</c:v>
                </c:pt>
                <c:pt idx="52">
                  <c:v>2</c:v>
                </c:pt>
                <c:pt idx="53">
                  <c:v>4</c:v>
                </c:pt>
                <c:pt idx="54">
                  <c:v>2</c:v>
                </c:pt>
                <c:pt idx="55">
                  <c:v>0</c:v>
                </c:pt>
                <c:pt idx="56">
                  <c:v>5</c:v>
                </c:pt>
                <c:pt idx="57">
                  <c:v>5</c:v>
                </c:pt>
                <c:pt idx="58">
                  <c:v>0</c:v>
                </c:pt>
                <c:pt idx="59">
                  <c:v>11</c:v>
                </c:pt>
                <c:pt idx="60">
                  <c:v>1</c:v>
                </c:pt>
                <c:pt idx="61">
                  <c:v>4</c:v>
                </c:pt>
                <c:pt idx="62">
                  <c:v>3</c:v>
                </c:pt>
                <c:pt idx="63">
                  <c:v>3</c:v>
                </c:pt>
                <c:pt idx="64">
                  <c:v>1</c:v>
                </c:pt>
                <c:pt idx="65">
                  <c:v>5</c:v>
                </c:pt>
                <c:pt idx="66">
                  <c:v>1</c:v>
                </c:pt>
                <c:pt idx="67">
                  <c:v>2</c:v>
                </c:pt>
                <c:pt idx="68">
                  <c:v>2</c:v>
                </c:pt>
                <c:pt idx="69">
                  <c:v>4</c:v>
                </c:pt>
                <c:pt idx="70">
                  <c:v>4</c:v>
                </c:pt>
                <c:pt idx="71">
                  <c:v>8</c:v>
                </c:pt>
                <c:pt idx="72">
                  <c:v>2</c:v>
                </c:pt>
                <c:pt idx="73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D86-47C0-9F92-FF25FEF721EC}"/>
            </c:ext>
          </c:extLst>
        </c:ser>
        <c:ser>
          <c:idx val="3"/>
          <c:order val="3"/>
          <c:tx>
            <c:v>Среднее по группе</c:v>
          </c:tx>
          <c:spPr>
            <a:ln w="31750">
              <a:solidFill>
                <a:srgbClr val="D83E50"/>
              </a:solidFill>
              <a:prstDash val="solid"/>
            </a:ln>
          </c:spPr>
          <c:marker>
            <c:symbol val="diamond"/>
            <c:size val="9"/>
            <c:spPr>
              <a:solidFill>
                <a:srgbClr val="D83E50"/>
              </a:solidFill>
              <a:ln>
                <a:noFill/>
                <a:prstDash val="solid"/>
              </a:ln>
            </c:spPr>
          </c:marker>
          <c:xVal>
            <c:numRef>
              <c:f>Расчёты_графиков!$E$1470:$I$1470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Расчёты_графиков!$E$1472:$I$1472</c:f>
              <c:numCache>
                <c:formatCode>0.00</c:formatCode>
                <c:ptCount val="5"/>
                <c:pt idx="0">
                  <c:v>4.7142857142857144</c:v>
                </c:pt>
                <c:pt idx="1">
                  <c:v>5</c:v>
                </c:pt>
                <c:pt idx="2">
                  <c:v>3.84</c:v>
                </c:pt>
                <c:pt idx="3">
                  <c:v>3.7083333333333335</c:v>
                </c:pt>
                <c:pt idx="4">
                  <c:v>5.5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D86-47C0-9F92-FF25FEF721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ax val="6"/>
          <c:min val="0"/>
        </c:scaling>
        <c:delete val="0"/>
        <c:axPos val="b"/>
        <c:title>
          <c:tx>
            <c:strRef>
              <c:f>Спирман_графики!$D$200</c:f>
              <c:strCache>
                <c:ptCount val="1"/>
                <c:pt idx="0">
                  <c:v>Л1</c:v>
                </c:pt>
              </c:strCache>
            </c:strRef>
          </c:tx>
          <c:overlay val="0"/>
          <c:txPr>
            <a:bodyPr/>
            <a:lstStyle/>
            <a:p>
              <a:pPr>
                <a:defRPr sz="1100" b="1">
                  <a:solidFill>
                    <a:srgbClr val="263746"/>
                  </a:solidFill>
                  <a:latin typeface="Arial"/>
                </a:defRPr>
              </a:pPr>
              <a:endParaRPr lang="ru-RU"/>
            </a:p>
          </c:txPr>
        </c:title>
        <c:numFmt formatCode="[&lt;1]&quot;&quot;;[&gt;5]&quot;&quot;;0" sourceLinked="0"/>
        <c:majorTickMark val="out"/>
        <c:minorTickMark val="none"/>
        <c:tickLblPos val="low"/>
        <c:spPr>
          <a:ln w="9525">
            <a:solidFill>
              <a:srgbClr val="263746"/>
            </a:solidFill>
            <a:prstDash val="solid"/>
          </a:ln>
        </c:spPr>
        <c:txPr>
          <a:bodyPr/>
          <a:lstStyle/>
          <a:p>
            <a:pPr>
              <a:defRPr sz="1000" b="0">
                <a:solidFill>
                  <a:srgbClr val="263746"/>
                </a:solidFill>
                <a:latin typeface="Arial"/>
              </a:defRPr>
            </a:pPr>
            <a:endParaRPr lang="ru-RU"/>
          </a:p>
        </c:txPr>
        <c:crossAx val="20"/>
        <c:crosses val="autoZero"/>
        <c:crossBetween val="midCat"/>
        <c:majorUnit val="1"/>
      </c:valAx>
      <c:valAx>
        <c:axId val="20"/>
        <c:scaling>
          <c:orientation val="minMax"/>
          <c:max val="15"/>
          <c:min val="0"/>
        </c:scaling>
        <c:delete val="0"/>
        <c:axPos val="l"/>
        <c:majorGridlines>
          <c:spPr>
            <a:ln w="6350">
              <a:solidFill>
                <a:srgbClr val="E4E9EC"/>
              </a:solidFill>
              <a:prstDash val="solid"/>
            </a:ln>
          </c:spPr>
        </c:majorGridlines>
        <c:title>
          <c:tx>
            <c:strRef>
              <c:f>Спирман_графики!$J$200</c:f>
              <c:strCache>
                <c:ptCount val="1"/>
                <c:pt idx="0">
                  <c:v>ТК4</c:v>
                </c:pt>
              </c:strCache>
            </c:strRef>
          </c:tx>
          <c:overlay val="0"/>
          <c:txPr>
            <a:bodyPr/>
            <a:lstStyle/>
            <a:p>
              <a:pPr>
                <a:defRPr sz="1100" b="1">
                  <a:solidFill>
                    <a:srgbClr val="263746"/>
                  </a:solidFill>
                  <a:latin typeface="Arial"/>
                </a:defRPr>
              </a:pPr>
              <a:endParaRPr lang="ru-RU"/>
            </a:p>
          </c:txPr>
        </c:title>
        <c:numFmt formatCode="0" sourceLinked="0"/>
        <c:majorTickMark val="out"/>
        <c:minorTickMark val="none"/>
        <c:tickLblPos val="low"/>
        <c:spPr>
          <a:ln w="9525">
            <a:solidFill>
              <a:srgbClr val="263746"/>
            </a:solidFill>
            <a:prstDash val="solid"/>
          </a:ln>
        </c:spPr>
        <c:txPr>
          <a:bodyPr/>
          <a:lstStyle/>
          <a:p>
            <a:pPr>
              <a:defRPr sz="1000" b="0">
                <a:solidFill>
                  <a:srgbClr val="263746"/>
                </a:solidFill>
                <a:latin typeface="Arial"/>
              </a:defRPr>
            </a:pPr>
            <a:endParaRPr lang="ru-RU"/>
          </a:p>
        </c:txPr>
        <c:crossAx val="10"/>
        <c:crosses val="autoZero"/>
        <c:crossBetween val="midCat"/>
        <c:majorUnit val="2"/>
      </c:valAx>
      <c:spPr>
        <a:solidFill>
          <a:srgbClr val="FFFFFF"/>
        </a:solidFill>
        <a:ln>
          <a:prstDash val="solid"/>
        </a:ln>
      </c:spPr>
    </c:plotArea>
    <c:legend>
      <c:legendPos val="b"/>
      <c:overlay val="0"/>
      <c:txPr>
        <a:bodyPr/>
        <a:lstStyle/>
        <a:p>
          <a:pPr>
            <a:defRPr sz="950" b="0">
              <a:solidFill>
                <a:srgbClr val="263746"/>
              </a:solidFill>
              <a:latin typeface="Arial"/>
            </a:defRPr>
          </a:pPr>
          <a:endParaRPr lang="ru-RU"/>
        </a:p>
      </c:txPr>
    </c:legend>
    <c:plotVisOnly val="1"/>
    <c:dispBlanksAs val="gap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strRef>
          <c:f>Расчёты_графиков!$B$1715</c:f>
          <c:strCache>
            <c:ptCount val="1"/>
            <c:pt idx="0">
              <c:v>ТК5 в зависимости от Л1
ρ = 0,045; p = 0,7043; n = 74</c:v>
            </c:pt>
          </c:strCache>
        </c:strRef>
      </c:tx>
      <c:overlay val="0"/>
      <c:txPr>
        <a:bodyPr/>
        <a:lstStyle/>
        <a:p>
          <a:pPr>
            <a:defRPr sz="1200" b="0">
              <a:solidFill>
                <a:srgbClr val="263746"/>
              </a:solidFill>
              <a:latin typeface="Arial"/>
            </a:defRPr>
          </a:pPr>
          <a:endParaRPr lang="ru-RU"/>
        </a:p>
      </c:txPr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Межквартильный размах и усы</c:v>
          </c:tx>
          <c:spPr>
            <a:ln w="22860">
              <a:solidFill>
                <a:srgbClr val="326A8D"/>
              </a:solidFill>
              <a:prstDash val="solid"/>
            </a:ln>
          </c:spPr>
          <c:marker>
            <c:symbol val="none"/>
          </c:marker>
          <c:xVal>
            <c:numRef>
              <c:f>Расчёты_графиков!$A$1720:$A$1813</c:f>
              <c:numCache>
                <c:formatCode>General</c:formatCode>
                <c:ptCount val="94"/>
                <c:pt idx="0">
                  <c:v>0.75</c:v>
                </c:pt>
                <c:pt idx="1">
                  <c:v>1.25</c:v>
                </c:pt>
                <c:pt idx="2">
                  <c:v>1.25</c:v>
                </c:pt>
                <c:pt idx="3">
                  <c:v>0.75</c:v>
                </c:pt>
                <c:pt idx="4">
                  <c:v>0.75</c:v>
                </c:pt>
                <c:pt idx="6">
                  <c:v>0.75</c:v>
                </c:pt>
                <c:pt idx="7">
                  <c:v>1.25</c:v>
                </c:pt>
                <c:pt idx="9">
                  <c:v>0.87</c:v>
                </c:pt>
                <c:pt idx="10">
                  <c:v>1.1299999999999999</c:v>
                </c:pt>
                <c:pt idx="11">
                  <c:v>1</c:v>
                </c:pt>
                <c:pt idx="12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0.87</c:v>
                </c:pt>
                <c:pt idx="17">
                  <c:v>1.1299999999999999</c:v>
                </c:pt>
                <c:pt idx="19">
                  <c:v>1.75</c:v>
                </c:pt>
                <c:pt idx="20">
                  <c:v>2.25</c:v>
                </c:pt>
                <c:pt idx="21">
                  <c:v>2.25</c:v>
                </c:pt>
                <c:pt idx="22">
                  <c:v>1.75</c:v>
                </c:pt>
                <c:pt idx="23">
                  <c:v>1.75</c:v>
                </c:pt>
                <c:pt idx="25">
                  <c:v>1.75</c:v>
                </c:pt>
                <c:pt idx="26">
                  <c:v>2.25</c:v>
                </c:pt>
                <c:pt idx="28">
                  <c:v>1.87</c:v>
                </c:pt>
                <c:pt idx="29">
                  <c:v>2.13</c:v>
                </c:pt>
                <c:pt idx="30">
                  <c:v>2</c:v>
                </c:pt>
                <c:pt idx="31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1.87</c:v>
                </c:pt>
                <c:pt idx="36">
                  <c:v>2.13</c:v>
                </c:pt>
                <c:pt idx="38">
                  <c:v>2.75</c:v>
                </c:pt>
                <c:pt idx="39">
                  <c:v>3.25</c:v>
                </c:pt>
                <c:pt idx="40">
                  <c:v>3.25</c:v>
                </c:pt>
                <c:pt idx="41">
                  <c:v>2.75</c:v>
                </c:pt>
                <c:pt idx="42">
                  <c:v>2.75</c:v>
                </c:pt>
                <c:pt idx="44">
                  <c:v>2.75</c:v>
                </c:pt>
                <c:pt idx="45">
                  <c:v>3.25</c:v>
                </c:pt>
                <c:pt idx="47">
                  <c:v>2.87</c:v>
                </c:pt>
                <c:pt idx="48">
                  <c:v>3.13</c:v>
                </c:pt>
                <c:pt idx="49">
                  <c:v>3</c:v>
                </c:pt>
                <c:pt idx="50">
                  <c:v>3</c:v>
                </c:pt>
                <c:pt idx="52">
                  <c:v>3</c:v>
                </c:pt>
                <c:pt idx="53">
                  <c:v>3</c:v>
                </c:pt>
                <c:pt idx="54">
                  <c:v>2.87</c:v>
                </c:pt>
                <c:pt idx="55">
                  <c:v>3.13</c:v>
                </c:pt>
                <c:pt idx="57">
                  <c:v>3.75</c:v>
                </c:pt>
                <c:pt idx="58">
                  <c:v>4.25</c:v>
                </c:pt>
                <c:pt idx="59">
                  <c:v>4.25</c:v>
                </c:pt>
                <c:pt idx="60">
                  <c:v>3.75</c:v>
                </c:pt>
                <c:pt idx="61">
                  <c:v>3.75</c:v>
                </c:pt>
                <c:pt idx="63">
                  <c:v>3.75</c:v>
                </c:pt>
                <c:pt idx="64">
                  <c:v>4.25</c:v>
                </c:pt>
                <c:pt idx="66">
                  <c:v>3.87</c:v>
                </c:pt>
                <c:pt idx="67">
                  <c:v>4.13</c:v>
                </c:pt>
                <c:pt idx="68">
                  <c:v>4</c:v>
                </c:pt>
                <c:pt idx="69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3.87</c:v>
                </c:pt>
                <c:pt idx="74">
                  <c:v>4.13</c:v>
                </c:pt>
                <c:pt idx="76">
                  <c:v>4.75</c:v>
                </c:pt>
                <c:pt idx="77">
                  <c:v>5.25</c:v>
                </c:pt>
                <c:pt idx="78">
                  <c:v>5.25</c:v>
                </c:pt>
                <c:pt idx="79">
                  <c:v>4.75</c:v>
                </c:pt>
                <c:pt idx="80">
                  <c:v>4.75</c:v>
                </c:pt>
                <c:pt idx="82">
                  <c:v>4.75</c:v>
                </c:pt>
                <c:pt idx="83">
                  <c:v>5.25</c:v>
                </c:pt>
                <c:pt idx="85">
                  <c:v>4.87</c:v>
                </c:pt>
                <c:pt idx="86">
                  <c:v>5.13</c:v>
                </c:pt>
                <c:pt idx="87">
                  <c:v>5</c:v>
                </c:pt>
                <c:pt idx="88">
                  <c:v>5</c:v>
                </c:pt>
                <c:pt idx="90">
                  <c:v>5</c:v>
                </c:pt>
                <c:pt idx="91">
                  <c:v>5</c:v>
                </c:pt>
                <c:pt idx="92">
                  <c:v>4.87</c:v>
                </c:pt>
                <c:pt idx="93">
                  <c:v>5.13</c:v>
                </c:pt>
              </c:numCache>
            </c:numRef>
          </c:xVal>
          <c:yVal>
            <c:numRef>
              <c:f>Расчёты_графиков!$B$1720:$B$1813</c:f>
              <c:numCache>
                <c:formatCode>General</c:formatCode>
                <c:ptCount val="94"/>
                <c:pt idx="0">
                  <c:v>7</c:v>
                </c:pt>
                <c:pt idx="1">
                  <c:v>7</c:v>
                </c:pt>
                <c:pt idx="2">
                  <c:v>8.5</c:v>
                </c:pt>
                <c:pt idx="3">
                  <c:v>8.5</c:v>
                </c:pt>
                <c:pt idx="4">
                  <c:v>7</c:v>
                </c:pt>
                <c:pt idx="6">
                  <c:v>8</c:v>
                </c:pt>
                <c:pt idx="7">
                  <c:v>8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4">
                  <c:v>8.5</c:v>
                </c:pt>
                <c:pt idx="15">
                  <c:v>9</c:v>
                </c:pt>
                <c:pt idx="16">
                  <c:v>9</c:v>
                </c:pt>
                <c:pt idx="17">
                  <c:v>9</c:v>
                </c:pt>
                <c:pt idx="19">
                  <c:v>6.75</c:v>
                </c:pt>
                <c:pt idx="20">
                  <c:v>6.75</c:v>
                </c:pt>
                <c:pt idx="21">
                  <c:v>8</c:v>
                </c:pt>
                <c:pt idx="22">
                  <c:v>8</c:v>
                </c:pt>
                <c:pt idx="23">
                  <c:v>6.75</c:v>
                </c:pt>
                <c:pt idx="25">
                  <c:v>7</c:v>
                </c:pt>
                <c:pt idx="26">
                  <c:v>7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6.75</c:v>
                </c:pt>
                <c:pt idx="33">
                  <c:v>8</c:v>
                </c:pt>
                <c:pt idx="34">
                  <c:v>9</c:v>
                </c:pt>
                <c:pt idx="35">
                  <c:v>9</c:v>
                </c:pt>
                <c:pt idx="36">
                  <c:v>9</c:v>
                </c:pt>
                <c:pt idx="38">
                  <c:v>6</c:v>
                </c:pt>
                <c:pt idx="39">
                  <c:v>6</c:v>
                </c:pt>
                <c:pt idx="40">
                  <c:v>8</c:v>
                </c:pt>
                <c:pt idx="41">
                  <c:v>8</c:v>
                </c:pt>
                <c:pt idx="42">
                  <c:v>6</c:v>
                </c:pt>
                <c:pt idx="44">
                  <c:v>6</c:v>
                </c:pt>
                <c:pt idx="45">
                  <c:v>6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6</c:v>
                </c:pt>
                <c:pt idx="52">
                  <c:v>8</c:v>
                </c:pt>
                <c:pt idx="53">
                  <c:v>10</c:v>
                </c:pt>
                <c:pt idx="54">
                  <c:v>10</c:v>
                </c:pt>
                <c:pt idx="55">
                  <c:v>10</c:v>
                </c:pt>
                <c:pt idx="57">
                  <c:v>7</c:v>
                </c:pt>
                <c:pt idx="58">
                  <c:v>7</c:v>
                </c:pt>
                <c:pt idx="59">
                  <c:v>9</c:v>
                </c:pt>
                <c:pt idx="60">
                  <c:v>9</c:v>
                </c:pt>
                <c:pt idx="61">
                  <c:v>7</c:v>
                </c:pt>
                <c:pt idx="63">
                  <c:v>7</c:v>
                </c:pt>
                <c:pt idx="64">
                  <c:v>7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7</c:v>
                </c:pt>
                <c:pt idx="71">
                  <c:v>9</c:v>
                </c:pt>
                <c:pt idx="72">
                  <c:v>10</c:v>
                </c:pt>
                <c:pt idx="73">
                  <c:v>10</c:v>
                </c:pt>
                <c:pt idx="74">
                  <c:v>10</c:v>
                </c:pt>
                <c:pt idx="76">
                  <c:v>6</c:v>
                </c:pt>
                <c:pt idx="77">
                  <c:v>6</c:v>
                </c:pt>
                <c:pt idx="78">
                  <c:v>7</c:v>
                </c:pt>
                <c:pt idx="79">
                  <c:v>7</c:v>
                </c:pt>
                <c:pt idx="80">
                  <c:v>6</c:v>
                </c:pt>
                <c:pt idx="82">
                  <c:v>6.5</c:v>
                </c:pt>
                <c:pt idx="83">
                  <c:v>6.5</c:v>
                </c:pt>
                <c:pt idx="85">
                  <c:v>5</c:v>
                </c:pt>
                <c:pt idx="86">
                  <c:v>5</c:v>
                </c:pt>
                <c:pt idx="87">
                  <c:v>5</c:v>
                </c:pt>
                <c:pt idx="88">
                  <c:v>6</c:v>
                </c:pt>
                <c:pt idx="90">
                  <c:v>7</c:v>
                </c:pt>
                <c:pt idx="91">
                  <c:v>7</c:v>
                </c:pt>
                <c:pt idx="92">
                  <c:v>7</c:v>
                </c:pt>
                <c:pt idx="93">
                  <c:v>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90D-4BF1-B7B4-1F84631FEDD0}"/>
            </c:ext>
          </c:extLst>
        </c:ser>
        <c:ser>
          <c:idx val="1"/>
          <c:order val="1"/>
          <c:tx>
            <c:v>Медиана</c:v>
          </c:tx>
          <c:spPr>
            <a:ln w="31750">
              <a:solidFill>
                <a:srgbClr val="203D66"/>
              </a:solidFill>
              <a:prstDash val="solid"/>
            </a:ln>
          </c:spPr>
          <c:marker>
            <c:symbol val="none"/>
          </c:marker>
          <c:xVal>
            <c:numRef>
              <c:f>Расчёты_графиков!$U$1720:$U$1733</c:f>
              <c:numCache>
                <c:formatCode>General</c:formatCode>
                <c:ptCount val="14"/>
                <c:pt idx="0">
                  <c:v>0.75</c:v>
                </c:pt>
                <c:pt idx="1">
                  <c:v>1.25</c:v>
                </c:pt>
                <c:pt idx="3">
                  <c:v>1.75</c:v>
                </c:pt>
                <c:pt idx="4">
                  <c:v>2.25</c:v>
                </c:pt>
                <c:pt idx="6">
                  <c:v>2.75</c:v>
                </c:pt>
                <c:pt idx="7">
                  <c:v>3.25</c:v>
                </c:pt>
                <c:pt idx="9">
                  <c:v>3.75</c:v>
                </c:pt>
                <c:pt idx="10">
                  <c:v>4.25</c:v>
                </c:pt>
                <c:pt idx="12">
                  <c:v>4.75</c:v>
                </c:pt>
                <c:pt idx="13">
                  <c:v>5.25</c:v>
                </c:pt>
              </c:numCache>
            </c:numRef>
          </c:xVal>
          <c:yVal>
            <c:numRef>
              <c:f>Расчёты_графиков!$V$1720:$V$1733</c:f>
              <c:numCache>
                <c:formatCode>General</c:formatCode>
                <c:ptCount val="14"/>
                <c:pt idx="0">
                  <c:v>8</c:v>
                </c:pt>
                <c:pt idx="1">
                  <c:v>8</c:v>
                </c:pt>
                <c:pt idx="3">
                  <c:v>7</c:v>
                </c:pt>
                <c:pt idx="4">
                  <c:v>7</c:v>
                </c:pt>
                <c:pt idx="6">
                  <c:v>6</c:v>
                </c:pt>
                <c:pt idx="7">
                  <c:v>6</c:v>
                </c:pt>
                <c:pt idx="9">
                  <c:v>7</c:v>
                </c:pt>
                <c:pt idx="10">
                  <c:v>7</c:v>
                </c:pt>
                <c:pt idx="12">
                  <c:v>6.5</c:v>
                </c:pt>
                <c:pt idx="13">
                  <c:v>6.5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90D-4BF1-B7B4-1F84631FEDD0}"/>
            </c:ext>
          </c:extLst>
        </c:ser>
        <c:ser>
          <c:idx val="2"/>
          <c:order val="2"/>
          <c:tx>
            <c:v>Наблюдения</c:v>
          </c:tx>
          <c:spPr>
            <a:ln>
              <a:noFill/>
              <a:prstDash val="solid"/>
            </a:ln>
          </c:spPr>
          <c:marker>
            <c:symbol val="circle"/>
            <c:size val="5"/>
            <c:spPr>
              <a:solidFill>
                <a:srgbClr val="83969E"/>
              </a:solidFill>
              <a:ln>
                <a:noFill/>
                <a:prstDash val="solid"/>
              </a:ln>
            </c:spPr>
          </c:marker>
          <c:xVal>
            <c:numRef>
              <c:f>Расчёты_графиков!$O$1622:$O$1695</c:f>
              <c:numCache>
                <c:formatCode>General</c:formatCode>
                <c:ptCount val="74"/>
                <c:pt idx="0">
                  <c:v>0.89500000000000002</c:v>
                </c:pt>
                <c:pt idx="1">
                  <c:v>1.895</c:v>
                </c:pt>
                <c:pt idx="2">
                  <c:v>1.93</c:v>
                </c:pt>
                <c:pt idx="3">
                  <c:v>1.895</c:v>
                </c:pt>
                <c:pt idx="4">
                  <c:v>0.89500000000000002</c:v>
                </c:pt>
                <c:pt idx="5">
                  <c:v>0.89500000000000002</c:v>
                </c:pt>
                <c:pt idx="6">
                  <c:v>0.89500000000000002</c:v>
                </c:pt>
                <c:pt idx="7">
                  <c:v>1.895</c:v>
                </c:pt>
                <c:pt idx="8">
                  <c:v>1.895</c:v>
                </c:pt>
                <c:pt idx="9">
                  <c:v>0.92999999999999994</c:v>
                </c:pt>
                <c:pt idx="10">
                  <c:v>1.93</c:v>
                </c:pt>
                <c:pt idx="11">
                  <c:v>0.92999999999999994</c:v>
                </c:pt>
                <c:pt idx="12">
                  <c:v>0.92999999999999994</c:v>
                </c:pt>
                <c:pt idx="13">
                  <c:v>1.9650000000000001</c:v>
                </c:pt>
                <c:pt idx="14">
                  <c:v>1.895</c:v>
                </c:pt>
                <c:pt idx="15">
                  <c:v>2</c:v>
                </c:pt>
                <c:pt idx="16">
                  <c:v>2.0350000000000001</c:v>
                </c:pt>
                <c:pt idx="17">
                  <c:v>1.93</c:v>
                </c:pt>
                <c:pt idx="18">
                  <c:v>1.9650000000000001</c:v>
                </c:pt>
                <c:pt idx="19">
                  <c:v>3.895</c:v>
                </c:pt>
                <c:pt idx="20">
                  <c:v>2.895</c:v>
                </c:pt>
                <c:pt idx="21">
                  <c:v>2.93</c:v>
                </c:pt>
                <c:pt idx="22">
                  <c:v>2.895</c:v>
                </c:pt>
                <c:pt idx="23">
                  <c:v>2.895</c:v>
                </c:pt>
                <c:pt idx="24">
                  <c:v>2.9649999999999999</c:v>
                </c:pt>
                <c:pt idx="25">
                  <c:v>3</c:v>
                </c:pt>
                <c:pt idx="26">
                  <c:v>2.895</c:v>
                </c:pt>
                <c:pt idx="27">
                  <c:v>2.895</c:v>
                </c:pt>
                <c:pt idx="28">
                  <c:v>3.0350000000000001</c:v>
                </c:pt>
                <c:pt idx="29">
                  <c:v>3.895</c:v>
                </c:pt>
                <c:pt idx="30">
                  <c:v>2.895</c:v>
                </c:pt>
                <c:pt idx="31">
                  <c:v>2.93</c:v>
                </c:pt>
                <c:pt idx="32">
                  <c:v>2.93</c:v>
                </c:pt>
                <c:pt idx="33">
                  <c:v>2.895</c:v>
                </c:pt>
                <c:pt idx="34">
                  <c:v>3.895</c:v>
                </c:pt>
                <c:pt idx="35">
                  <c:v>2.93</c:v>
                </c:pt>
                <c:pt idx="36">
                  <c:v>3.07</c:v>
                </c:pt>
                <c:pt idx="37">
                  <c:v>3.895</c:v>
                </c:pt>
                <c:pt idx="38">
                  <c:v>2.9649999999999999</c:v>
                </c:pt>
                <c:pt idx="39">
                  <c:v>3.895</c:v>
                </c:pt>
                <c:pt idx="40">
                  <c:v>2.9649999999999999</c:v>
                </c:pt>
                <c:pt idx="41">
                  <c:v>3.93</c:v>
                </c:pt>
                <c:pt idx="42">
                  <c:v>2.895</c:v>
                </c:pt>
                <c:pt idx="43">
                  <c:v>3</c:v>
                </c:pt>
                <c:pt idx="44">
                  <c:v>3.93</c:v>
                </c:pt>
                <c:pt idx="45">
                  <c:v>2.93</c:v>
                </c:pt>
                <c:pt idx="46">
                  <c:v>3.93</c:v>
                </c:pt>
                <c:pt idx="47">
                  <c:v>3.105</c:v>
                </c:pt>
                <c:pt idx="48">
                  <c:v>2.93</c:v>
                </c:pt>
                <c:pt idx="49">
                  <c:v>3.0350000000000001</c:v>
                </c:pt>
                <c:pt idx="50">
                  <c:v>2.9649999999999999</c:v>
                </c:pt>
                <c:pt idx="51">
                  <c:v>3.9649999999999999</c:v>
                </c:pt>
                <c:pt idx="52">
                  <c:v>2.895</c:v>
                </c:pt>
                <c:pt idx="53">
                  <c:v>4</c:v>
                </c:pt>
                <c:pt idx="54">
                  <c:v>4.0350000000000001</c:v>
                </c:pt>
                <c:pt idx="55">
                  <c:v>3.93</c:v>
                </c:pt>
                <c:pt idx="56">
                  <c:v>3.9649999999999999</c:v>
                </c:pt>
                <c:pt idx="57">
                  <c:v>4</c:v>
                </c:pt>
                <c:pt idx="58">
                  <c:v>4.07</c:v>
                </c:pt>
                <c:pt idx="59">
                  <c:v>4.8949999999999996</c:v>
                </c:pt>
                <c:pt idx="60">
                  <c:v>4.0350000000000001</c:v>
                </c:pt>
                <c:pt idx="61">
                  <c:v>4.1050000000000004</c:v>
                </c:pt>
                <c:pt idx="62">
                  <c:v>3.895</c:v>
                </c:pt>
                <c:pt idx="63">
                  <c:v>3.895</c:v>
                </c:pt>
                <c:pt idx="64">
                  <c:v>4.07</c:v>
                </c:pt>
                <c:pt idx="65">
                  <c:v>4.8949999999999996</c:v>
                </c:pt>
                <c:pt idx="66">
                  <c:v>4.8949999999999996</c:v>
                </c:pt>
                <c:pt idx="67">
                  <c:v>3.93</c:v>
                </c:pt>
                <c:pt idx="68">
                  <c:v>3.9649999999999999</c:v>
                </c:pt>
                <c:pt idx="69">
                  <c:v>4.93</c:v>
                </c:pt>
                <c:pt idx="70">
                  <c:v>4.8949999999999996</c:v>
                </c:pt>
                <c:pt idx="71">
                  <c:v>4.93</c:v>
                </c:pt>
                <c:pt idx="72">
                  <c:v>4.1050000000000004</c:v>
                </c:pt>
                <c:pt idx="73">
                  <c:v>3.9649999999999999</c:v>
                </c:pt>
              </c:numCache>
            </c:numRef>
          </c:xVal>
          <c:yVal>
            <c:numRef>
              <c:f>Расчёты_графиков!$P$1622:$P$1695</c:f>
              <c:numCache>
                <c:formatCode>General</c:formatCode>
                <c:ptCount val="74"/>
                <c:pt idx="0">
                  <c:v>8</c:v>
                </c:pt>
                <c:pt idx="1">
                  <c:v>7</c:v>
                </c:pt>
                <c:pt idx="2">
                  <c:v>7</c:v>
                </c:pt>
                <c:pt idx="3">
                  <c:v>9</c:v>
                </c:pt>
                <c:pt idx="4">
                  <c:v>9</c:v>
                </c:pt>
                <c:pt idx="5">
                  <c:v>7</c:v>
                </c:pt>
                <c:pt idx="6">
                  <c:v>4</c:v>
                </c:pt>
                <c:pt idx="7">
                  <c:v>8</c:v>
                </c:pt>
                <c:pt idx="8">
                  <c:v>4</c:v>
                </c:pt>
                <c:pt idx="9">
                  <c:v>7</c:v>
                </c:pt>
                <c:pt idx="10">
                  <c:v>8</c:v>
                </c:pt>
                <c:pt idx="11">
                  <c:v>8</c:v>
                </c:pt>
                <c:pt idx="12">
                  <c:v>9</c:v>
                </c:pt>
                <c:pt idx="13">
                  <c:v>7</c:v>
                </c:pt>
                <c:pt idx="14">
                  <c:v>6</c:v>
                </c:pt>
                <c:pt idx="15">
                  <c:v>7</c:v>
                </c:pt>
                <c:pt idx="16">
                  <c:v>7</c:v>
                </c:pt>
                <c:pt idx="17">
                  <c:v>4</c:v>
                </c:pt>
                <c:pt idx="18">
                  <c:v>8</c:v>
                </c:pt>
                <c:pt idx="19">
                  <c:v>7</c:v>
                </c:pt>
                <c:pt idx="20">
                  <c:v>6</c:v>
                </c:pt>
                <c:pt idx="21">
                  <c:v>6</c:v>
                </c:pt>
                <c:pt idx="22">
                  <c:v>9</c:v>
                </c:pt>
                <c:pt idx="23">
                  <c:v>1</c:v>
                </c:pt>
                <c:pt idx="24">
                  <c:v>6</c:v>
                </c:pt>
                <c:pt idx="25">
                  <c:v>6</c:v>
                </c:pt>
                <c:pt idx="26">
                  <c:v>8</c:v>
                </c:pt>
                <c:pt idx="27">
                  <c:v>7</c:v>
                </c:pt>
                <c:pt idx="28">
                  <c:v>6</c:v>
                </c:pt>
                <c:pt idx="29">
                  <c:v>8</c:v>
                </c:pt>
                <c:pt idx="30">
                  <c:v>4</c:v>
                </c:pt>
                <c:pt idx="31">
                  <c:v>9</c:v>
                </c:pt>
                <c:pt idx="32">
                  <c:v>8</c:v>
                </c:pt>
                <c:pt idx="33">
                  <c:v>10</c:v>
                </c:pt>
                <c:pt idx="34">
                  <c:v>6</c:v>
                </c:pt>
                <c:pt idx="35">
                  <c:v>7</c:v>
                </c:pt>
                <c:pt idx="36">
                  <c:v>6</c:v>
                </c:pt>
                <c:pt idx="37">
                  <c:v>9</c:v>
                </c:pt>
                <c:pt idx="38">
                  <c:v>8</c:v>
                </c:pt>
                <c:pt idx="39">
                  <c:v>4</c:v>
                </c:pt>
                <c:pt idx="40">
                  <c:v>7</c:v>
                </c:pt>
                <c:pt idx="41">
                  <c:v>9</c:v>
                </c:pt>
                <c:pt idx="42">
                  <c:v>5</c:v>
                </c:pt>
                <c:pt idx="43">
                  <c:v>7</c:v>
                </c:pt>
                <c:pt idx="44">
                  <c:v>8</c:v>
                </c:pt>
                <c:pt idx="45">
                  <c:v>5</c:v>
                </c:pt>
                <c:pt idx="46">
                  <c:v>7</c:v>
                </c:pt>
                <c:pt idx="47">
                  <c:v>6</c:v>
                </c:pt>
                <c:pt idx="48">
                  <c:v>4</c:v>
                </c:pt>
                <c:pt idx="49">
                  <c:v>7</c:v>
                </c:pt>
                <c:pt idx="50">
                  <c:v>9</c:v>
                </c:pt>
                <c:pt idx="51">
                  <c:v>7</c:v>
                </c:pt>
                <c:pt idx="52">
                  <c:v>6</c:v>
                </c:pt>
                <c:pt idx="53">
                  <c:v>7</c:v>
                </c:pt>
                <c:pt idx="54">
                  <c:v>7</c:v>
                </c:pt>
                <c:pt idx="55">
                  <c:v>6</c:v>
                </c:pt>
                <c:pt idx="56">
                  <c:v>9</c:v>
                </c:pt>
                <c:pt idx="57">
                  <c:v>9</c:v>
                </c:pt>
                <c:pt idx="58">
                  <c:v>7</c:v>
                </c:pt>
                <c:pt idx="59">
                  <c:v>7</c:v>
                </c:pt>
                <c:pt idx="60">
                  <c:v>9</c:v>
                </c:pt>
                <c:pt idx="61">
                  <c:v>7</c:v>
                </c:pt>
                <c:pt idx="62">
                  <c:v>7</c:v>
                </c:pt>
                <c:pt idx="63">
                  <c:v>10</c:v>
                </c:pt>
                <c:pt idx="64">
                  <c:v>9</c:v>
                </c:pt>
                <c:pt idx="65">
                  <c:v>6</c:v>
                </c:pt>
                <c:pt idx="66">
                  <c:v>5</c:v>
                </c:pt>
                <c:pt idx="67">
                  <c:v>7</c:v>
                </c:pt>
                <c:pt idx="68">
                  <c:v>8</c:v>
                </c:pt>
                <c:pt idx="69">
                  <c:v>6</c:v>
                </c:pt>
                <c:pt idx="70">
                  <c:v>9</c:v>
                </c:pt>
                <c:pt idx="71">
                  <c:v>7</c:v>
                </c:pt>
                <c:pt idx="72">
                  <c:v>9</c:v>
                </c:pt>
                <c:pt idx="73">
                  <c:v>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90D-4BF1-B7B4-1F84631FEDD0}"/>
            </c:ext>
          </c:extLst>
        </c:ser>
        <c:ser>
          <c:idx val="3"/>
          <c:order val="3"/>
          <c:tx>
            <c:v>Среднее по группе</c:v>
          </c:tx>
          <c:spPr>
            <a:ln w="31750">
              <a:solidFill>
                <a:srgbClr val="D83E50"/>
              </a:solidFill>
              <a:prstDash val="solid"/>
            </a:ln>
          </c:spPr>
          <c:marker>
            <c:symbol val="diamond"/>
            <c:size val="9"/>
            <c:spPr>
              <a:solidFill>
                <a:srgbClr val="D83E50"/>
              </a:solidFill>
              <a:ln>
                <a:noFill/>
                <a:prstDash val="solid"/>
              </a:ln>
            </c:spPr>
          </c:marker>
          <c:xVal>
            <c:numRef>
              <c:f>Расчёты_графиков!$E$1700:$I$1700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Расчёты_графиков!$E$1702:$I$1702</c:f>
              <c:numCache>
                <c:formatCode>0.00</c:formatCode>
                <c:ptCount val="5"/>
                <c:pt idx="0">
                  <c:v>7.4285714285714288</c:v>
                </c:pt>
                <c:pt idx="1">
                  <c:v>6.833333333333333</c:v>
                </c:pt>
                <c:pt idx="2">
                  <c:v>6.52</c:v>
                </c:pt>
                <c:pt idx="3">
                  <c:v>7.583333333333333</c:v>
                </c:pt>
                <c:pt idx="4">
                  <c:v>6.666666666666667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90D-4BF1-B7B4-1F84631FED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ax val="6"/>
          <c:min val="0"/>
        </c:scaling>
        <c:delete val="0"/>
        <c:axPos val="b"/>
        <c:title>
          <c:tx>
            <c:strRef>
              <c:f>Спирман_графики!$D$232</c:f>
              <c:strCache>
                <c:ptCount val="1"/>
                <c:pt idx="0">
                  <c:v>Л1</c:v>
                </c:pt>
              </c:strCache>
            </c:strRef>
          </c:tx>
          <c:overlay val="0"/>
          <c:txPr>
            <a:bodyPr/>
            <a:lstStyle/>
            <a:p>
              <a:pPr>
                <a:defRPr sz="1100" b="1">
                  <a:solidFill>
                    <a:srgbClr val="263746"/>
                  </a:solidFill>
                  <a:latin typeface="Arial"/>
                </a:defRPr>
              </a:pPr>
              <a:endParaRPr lang="ru-RU"/>
            </a:p>
          </c:txPr>
        </c:title>
        <c:numFmt formatCode="[&lt;1]&quot;&quot;;[&gt;5]&quot;&quot;;0" sourceLinked="0"/>
        <c:majorTickMark val="out"/>
        <c:minorTickMark val="none"/>
        <c:tickLblPos val="low"/>
        <c:spPr>
          <a:ln w="9525">
            <a:solidFill>
              <a:srgbClr val="263746"/>
            </a:solidFill>
            <a:prstDash val="solid"/>
          </a:ln>
        </c:spPr>
        <c:txPr>
          <a:bodyPr/>
          <a:lstStyle/>
          <a:p>
            <a:pPr>
              <a:defRPr sz="1000" b="0">
                <a:solidFill>
                  <a:srgbClr val="263746"/>
                </a:solidFill>
                <a:latin typeface="Arial"/>
              </a:defRPr>
            </a:pPr>
            <a:endParaRPr lang="ru-RU"/>
          </a:p>
        </c:txPr>
        <c:crossAx val="20"/>
        <c:crosses val="autoZero"/>
        <c:crossBetween val="midCat"/>
        <c:majorUnit val="1"/>
      </c:valAx>
      <c:valAx>
        <c:axId val="20"/>
        <c:scaling>
          <c:orientation val="minMax"/>
          <c:max val="15"/>
          <c:min val="0"/>
        </c:scaling>
        <c:delete val="0"/>
        <c:axPos val="l"/>
        <c:majorGridlines>
          <c:spPr>
            <a:ln w="6350">
              <a:solidFill>
                <a:srgbClr val="E4E9EC"/>
              </a:solidFill>
              <a:prstDash val="solid"/>
            </a:ln>
          </c:spPr>
        </c:majorGridlines>
        <c:title>
          <c:tx>
            <c:strRef>
              <c:f>Спирман_графики!$J$232</c:f>
              <c:strCache>
                <c:ptCount val="1"/>
                <c:pt idx="0">
                  <c:v>ТК5</c:v>
                </c:pt>
              </c:strCache>
            </c:strRef>
          </c:tx>
          <c:overlay val="0"/>
          <c:txPr>
            <a:bodyPr/>
            <a:lstStyle/>
            <a:p>
              <a:pPr>
                <a:defRPr sz="1100" b="1">
                  <a:solidFill>
                    <a:srgbClr val="263746"/>
                  </a:solidFill>
                  <a:latin typeface="Arial"/>
                </a:defRPr>
              </a:pPr>
              <a:endParaRPr lang="ru-RU"/>
            </a:p>
          </c:txPr>
        </c:title>
        <c:numFmt formatCode="0" sourceLinked="0"/>
        <c:majorTickMark val="out"/>
        <c:minorTickMark val="none"/>
        <c:tickLblPos val="low"/>
        <c:spPr>
          <a:ln w="9525">
            <a:solidFill>
              <a:srgbClr val="263746"/>
            </a:solidFill>
            <a:prstDash val="solid"/>
          </a:ln>
        </c:spPr>
        <c:txPr>
          <a:bodyPr/>
          <a:lstStyle/>
          <a:p>
            <a:pPr>
              <a:defRPr sz="1000" b="0">
                <a:solidFill>
                  <a:srgbClr val="263746"/>
                </a:solidFill>
                <a:latin typeface="Arial"/>
              </a:defRPr>
            </a:pPr>
            <a:endParaRPr lang="ru-RU"/>
          </a:p>
        </c:txPr>
        <c:crossAx val="10"/>
        <c:crosses val="autoZero"/>
        <c:crossBetween val="midCat"/>
        <c:majorUnit val="2"/>
      </c:valAx>
      <c:spPr>
        <a:solidFill>
          <a:srgbClr val="FFFFFF"/>
        </a:solidFill>
        <a:ln>
          <a:prstDash val="solid"/>
        </a:ln>
      </c:spPr>
    </c:plotArea>
    <c:legend>
      <c:legendPos val="b"/>
      <c:overlay val="0"/>
      <c:txPr>
        <a:bodyPr/>
        <a:lstStyle/>
        <a:p>
          <a:pPr>
            <a:defRPr sz="950" b="0">
              <a:solidFill>
                <a:srgbClr val="263746"/>
              </a:solidFill>
              <a:latin typeface="Arial"/>
            </a:defRPr>
          </a:pPr>
          <a:endParaRPr lang="ru-RU"/>
        </a:p>
      </c:txPr>
    </c:legend>
    <c:plotVisOnly val="1"/>
    <c:dispBlanksAs val="gap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strRef>
          <c:f>Расчёты_графиков!$B$106</c:f>
          <c:strCache>
            <c:ptCount val="1"/>
            <c:pt idx="0">
              <c:v>Линейная регрессия К1 по Л1
ŷ = 18,628 − 1,274x; R² = 0,067; p = 0,0263; n = 74</c:v>
            </c:pt>
          </c:strCache>
        </c:strRef>
      </c:tx>
      <c:overlay val="0"/>
      <c:txPr>
        <a:bodyPr/>
        <a:lstStyle/>
        <a:p>
          <a:pPr>
            <a:defRPr sz="1200" b="0">
              <a:solidFill>
                <a:srgbClr val="263746"/>
              </a:solidFill>
              <a:latin typeface="Arial"/>
            </a:defRPr>
          </a:pPr>
          <a:endParaRPr lang="ru-RU"/>
        </a:p>
      </c:txPr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Наблюдения</c:v>
          </c:tx>
          <c:spPr>
            <a:ln>
              <a:noFill/>
              <a:prstDash val="solid"/>
            </a:ln>
          </c:spPr>
          <c:marker>
            <c:symbol val="circle"/>
            <c:size val="6"/>
            <c:spPr>
              <a:solidFill>
                <a:srgbClr val="83969E"/>
              </a:solidFill>
              <a:ln>
                <a:noFill/>
                <a:prstDash val="solid"/>
              </a:ln>
            </c:spPr>
          </c:marker>
          <c:xVal>
            <c:numRef>
              <c:f>Расчёты_графиков!$S$12:$S$85</c:f>
              <c:numCache>
                <c:formatCode>General</c:formatCode>
                <c:ptCount val="74"/>
                <c:pt idx="0">
                  <c:v>0.96</c:v>
                </c:pt>
                <c:pt idx="1">
                  <c:v>2</c:v>
                </c:pt>
                <c:pt idx="2">
                  <c:v>1.96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2</c:v>
                </c:pt>
                <c:pt idx="9">
                  <c:v>1</c:v>
                </c:pt>
                <c:pt idx="10">
                  <c:v>1.96</c:v>
                </c:pt>
                <c:pt idx="11">
                  <c:v>1</c:v>
                </c:pt>
                <c:pt idx="12">
                  <c:v>1.04</c:v>
                </c:pt>
                <c:pt idx="13">
                  <c:v>2</c:v>
                </c:pt>
                <c:pt idx="14">
                  <c:v>2</c:v>
                </c:pt>
                <c:pt idx="15">
                  <c:v>2.04</c:v>
                </c:pt>
                <c:pt idx="16">
                  <c:v>2</c:v>
                </c:pt>
                <c:pt idx="17">
                  <c:v>2.04</c:v>
                </c:pt>
                <c:pt idx="18">
                  <c:v>2</c:v>
                </c:pt>
                <c:pt idx="19">
                  <c:v>3.96</c:v>
                </c:pt>
                <c:pt idx="20">
                  <c:v>3</c:v>
                </c:pt>
                <c:pt idx="21">
                  <c:v>2.96</c:v>
                </c:pt>
                <c:pt idx="22">
                  <c:v>3</c:v>
                </c:pt>
                <c:pt idx="23">
                  <c:v>3</c:v>
                </c:pt>
                <c:pt idx="24">
                  <c:v>2.96</c:v>
                </c:pt>
                <c:pt idx="25">
                  <c:v>2.92</c:v>
                </c:pt>
                <c:pt idx="26">
                  <c:v>2.8</c:v>
                </c:pt>
                <c:pt idx="27">
                  <c:v>2.88</c:v>
                </c:pt>
                <c:pt idx="28">
                  <c:v>3</c:v>
                </c:pt>
                <c:pt idx="29">
                  <c:v>3.84</c:v>
                </c:pt>
                <c:pt idx="30">
                  <c:v>2.96</c:v>
                </c:pt>
                <c:pt idx="31">
                  <c:v>3</c:v>
                </c:pt>
                <c:pt idx="32">
                  <c:v>3</c:v>
                </c:pt>
                <c:pt idx="33">
                  <c:v>3.04</c:v>
                </c:pt>
                <c:pt idx="34">
                  <c:v>3.84</c:v>
                </c:pt>
                <c:pt idx="35">
                  <c:v>2.96</c:v>
                </c:pt>
                <c:pt idx="36">
                  <c:v>3</c:v>
                </c:pt>
                <c:pt idx="37">
                  <c:v>4</c:v>
                </c:pt>
                <c:pt idx="38">
                  <c:v>3</c:v>
                </c:pt>
                <c:pt idx="39">
                  <c:v>4</c:v>
                </c:pt>
                <c:pt idx="40">
                  <c:v>3.08</c:v>
                </c:pt>
                <c:pt idx="41">
                  <c:v>3.92</c:v>
                </c:pt>
                <c:pt idx="42">
                  <c:v>2.96</c:v>
                </c:pt>
                <c:pt idx="43">
                  <c:v>3.04</c:v>
                </c:pt>
                <c:pt idx="44">
                  <c:v>3.92</c:v>
                </c:pt>
                <c:pt idx="45">
                  <c:v>3.12</c:v>
                </c:pt>
                <c:pt idx="46">
                  <c:v>4</c:v>
                </c:pt>
                <c:pt idx="47">
                  <c:v>3.04</c:v>
                </c:pt>
                <c:pt idx="48">
                  <c:v>3.2</c:v>
                </c:pt>
                <c:pt idx="49">
                  <c:v>3</c:v>
                </c:pt>
                <c:pt idx="50">
                  <c:v>3.04</c:v>
                </c:pt>
                <c:pt idx="51">
                  <c:v>4</c:v>
                </c:pt>
                <c:pt idx="52">
                  <c:v>3.04</c:v>
                </c:pt>
                <c:pt idx="53">
                  <c:v>4.04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4.08</c:v>
                </c:pt>
                <c:pt idx="58">
                  <c:v>4.08</c:v>
                </c:pt>
                <c:pt idx="59">
                  <c:v>5</c:v>
                </c:pt>
                <c:pt idx="60">
                  <c:v>3.96</c:v>
                </c:pt>
                <c:pt idx="61">
                  <c:v>4</c:v>
                </c:pt>
                <c:pt idx="62">
                  <c:v>3.96</c:v>
                </c:pt>
                <c:pt idx="63">
                  <c:v>4.16</c:v>
                </c:pt>
                <c:pt idx="64">
                  <c:v>4.04</c:v>
                </c:pt>
                <c:pt idx="65">
                  <c:v>5</c:v>
                </c:pt>
                <c:pt idx="66">
                  <c:v>4.96</c:v>
                </c:pt>
                <c:pt idx="67">
                  <c:v>4.16</c:v>
                </c:pt>
                <c:pt idx="68">
                  <c:v>4</c:v>
                </c:pt>
                <c:pt idx="69">
                  <c:v>5</c:v>
                </c:pt>
                <c:pt idx="70">
                  <c:v>5</c:v>
                </c:pt>
                <c:pt idx="71">
                  <c:v>5.04</c:v>
                </c:pt>
                <c:pt idx="72">
                  <c:v>4</c:v>
                </c:pt>
                <c:pt idx="73">
                  <c:v>4.04</c:v>
                </c:pt>
              </c:numCache>
            </c:numRef>
          </c:xVal>
          <c:yVal>
            <c:numRef>
              <c:f>Данные!$C$2:$C$75</c:f>
              <c:numCache>
                <c:formatCode>General</c:formatCode>
                <c:ptCount val="74"/>
                <c:pt idx="0">
                  <c:v>13</c:v>
                </c:pt>
                <c:pt idx="1">
                  <c:v>8</c:v>
                </c:pt>
                <c:pt idx="2">
                  <c:v>18</c:v>
                </c:pt>
                <c:pt idx="3">
                  <c:v>12</c:v>
                </c:pt>
                <c:pt idx="4">
                  <c:v>11</c:v>
                </c:pt>
                <c:pt idx="5">
                  <c:v>16</c:v>
                </c:pt>
                <c:pt idx="6">
                  <c:v>20</c:v>
                </c:pt>
                <c:pt idx="7">
                  <c:v>17</c:v>
                </c:pt>
                <c:pt idx="8">
                  <c:v>21</c:v>
                </c:pt>
                <c:pt idx="9">
                  <c:v>28</c:v>
                </c:pt>
                <c:pt idx="10">
                  <c:v>19</c:v>
                </c:pt>
                <c:pt idx="11">
                  <c:v>14</c:v>
                </c:pt>
                <c:pt idx="12">
                  <c:v>13</c:v>
                </c:pt>
                <c:pt idx="13">
                  <c:v>16</c:v>
                </c:pt>
                <c:pt idx="14">
                  <c:v>23</c:v>
                </c:pt>
                <c:pt idx="15">
                  <c:v>19</c:v>
                </c:pt>
                <c:pt idx="16">
                  <c:v>27</c:v>
                </c:pt>
                <c:pt idx="17">
                  <c:v>18</c:v>
                </c:pt>
                <c:pt idx="18">
                  <c:v>25</c:v>
                </c:pt>
                <c:pt idx="19">
                  <c:v>19</c:v>
                </c:pt>
                <c:pt idx="20">
                  <c:v>9</c:v>
                </c:pt>
                <c:pt idx="21">
                  <c:v>8</c:v>
                </c:pt>
                <c:pt idx="22">
                  <c:v>15</c:v>
                </c:pt>
                <c:pt idx="23">
                  <c:v>12</c:v>
                </c:pt>
                <c:pt idx="24">
                  <c:v>18</c:v>
                </c:pt>
                <c:pt idx="25">
                  <c:v>16</c:v>
                </c:pt>
                <c:pt idx="26">
                  <c:v>14</c:v>
                </c:pt>
                <c:pt idx="27">
                  <c:v>14</c:v>
                </c:pt>
                <c:pt idx="28">
                  <c:v>5</c:v>
                </c:pt>
                <c:pt idx="29">
                  <c:v>15</c:v>
                </c:pt>
                <c:pt idx="30">
                  <c:v>14</c:v>
                </c:pt>
                <c:pt idx="31">
                  <c:v>28</c:v>
                </c:pt>
                <c:pt idx="32">
                  <c:v>17</c:v>
                </c:pt>
                <c:pt idx="33">
                  <c:v>8</c:v>
                </c:pt>
                <c:pt idx="34">
                  <c:v>14</c:v>
                </c:pt>
                <c:pt idx="35">
                  <c:v>13</c:v>
                </c:pt>
                <c:pt idx="36">
                  <c:v>20</c:v>
                </c:pt>
                <c:pt idx="37">
                  <c:v>18</c:v>
                </c:pt>
                <c:pt idx="38">
                  <c:v>16</c:v>
                </c:pt>
                <c:pt idx="39">
                  <c:v>11</c:v>
                </c:pt>
                <c:pt idx="40">
                  <c:v>16</c:v>
                </c:pt>
                <c:pt idx="41">
                  <c:v>14</c:v>
                </c:pt>
                <c:pt idx="42">
                  <c:v>7</c:v>
                </c:pt>
                <c:pt idx="43">
                  <c:v>14</c:v>
                </c:pt>
                <c:pt idx="44">
                  <c:v>15</c:v>
                </c:pt>
                <c:pt idx="45">
                  <c:v>14</c:v>
                </c:pt>
                <c:pt idx="46">
                  <c:v>14</c:v>
                </c:pt>
                <c:pt idx="47">
                  <c:v>7</c:v>
                </c:pt>
                <c:pt idx="48">
                  <c:v>14</c:v>
                </c:pt>
                <c:pt idx="49">
                  <c:v>10</c:v>
                </c:pt>
                <c:pt idx="50">
                  <c:v>13</c:v>
                </c:pt>
                <c:pt idx="51">
                  <c:v>21</c:v>
                </c:pt>
                <c:pt idx="52">
                  <c:v>18</c:v>
                </c:pt>
                <c:pt idx="53">
                  <c:v>19</c:v>
                </c:pt>
                <c:pt idx="54">
                  <c:v>20</c:v>
                </c:pt>
                <c:pt idx="55">
                  <c:v>7</c:v>
                </c:pt>
                <c:pt idx="56">
                  <c:v>15</c:v>
                </c:pt>
                <c:pt idx="57">
                  <c:v>14</c:v>
                </c:pt>
                <c:pt idx="58">
                  <c:v>15</c:v>
                </c:pt>
                <c:pt idx="59">
                  <c:v>28</c:v>
                </c:pt>
                <c:pt idx="60">
                  <c:v>10</c:v>
                </c:pt>
                <c:pt idx="61">
                  <c:v>13</c:v>
                </c:pt>
                <c:pt idx="62">
                  <c:v>4</c:v>
                </c:pt>
                <c:pt idx="63">
                  <c:v>15</c:v>
                </c:pt>
                <c:pt idx="64">
                  <c:v>4</c:v>
                </c:pt>
                <c:pt idx="65">
                  <c:v>7</c:v>
                </c:pt>
                <c:pt idx="66">
                  <c:v>11</c:v>
                </c:pt>
                <c:pt idx="67">
                  <c:v>14</c:v>
                </c:pt>
                <c:pt idx="68">
                  <c:v>8</c:v>
                </c:pt>
                <c:pt idx="69">
                  <c:v>13</c:v>
                </c:pt>
                <c:pt idx="70">
                  <c:v>14</c:v>
                </c:pt>
                <c:pt idx="71">
                  <c:v>11</c:v>
                </c:pt>
                <c:pt idx="72">
                  <c:v>12</c:v>
                </c:pt>
                <c:pt idx="73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E5E-4818-818A-AEC4FDFF2DBC}"/>
            </c:ext>
          </c:extLst>
        </c:ser>
        <c:ser>
          <c:idx val="1"/>
          <c:order val="1"/>
          <c:tx>
            <c:v>Линия регрессии</c:v>
          </c:tx>
          <c:spPr>
            <a:ln w="31750">
              <a:solidFill>
                <a:srgbClr val="D83E50"/>
              </a:solidFill>
              <a:prstDash val="solid"/>
            </a:ln>
          </c:spPr>
          <c:marker>
            <c:symbol val="none"/>
          </c:marker>
          <c:xVal>
            <c:numRef>
              <c:f>Расчёты_графиков!$K$91:$K$150</c:f>
              <c:numCache>
                <c:formatCode>General</c:formatCode>
                <c:ptCount val="60"/>
                <c:pt idx="0">
                  <c:v>1</c:v>
                </c:pt>
                <c:pt idx="1">
                  <c:v>1.0677966101694916</c:v>
                </c:pt>
                <c:pt idx="2">
                  <c:v>1.1355932203389831</c:v>
                </c:pt>
                <c:pt idx="3">
                  <c:v>1.2033898305084745</c:v>
                </c:pt>
                <c:pt idx="4">
                  <c:v>1.271186440677966</c:v>
                </c:pt>
                <c:pt idx="5">
                  <c:v>1.3389830508474576</c:v>
                </c:pt>
                <c:pt idx="6">
                  <c:v>1.4067796610169492</c:v>
                </c:pt>
                <c:pt idx="7">
                  <c:v>1.4745762711864407</c:v>
                </c:pt>
                <c:pt idx="8">
                  <c:v>1.5423728813559321</c:v>
                </c:pt>
                <c:pt idx="9">
                  <c:v>1.6101694915254239</c:v>
                </c:pt>
                <c:pt idx="10">
                  <c:v>1.6779661016949152</c:v>
                </c:pt>
                <c:pt idx="11">
                  <c:v>1.7457627118644068</c:v>
                </c:pt>
                <c:pt idx="12">
                  <c:v>1.8135593220338984</c:v>
                </c:pt>
                <c:pt idx="13">
                  <c:v>1.8813559322033897</c:v>
                </c:pt>
                <c:pt idx="14">
                  <c:v>1.9491525423728815</c:v>
                </c:pt>
                <c:pt idx="15">
                  <c:v>2.0169491525423728</c:v>
                </c:pt>
                <c:pt idx="16">
                  <c:v>2.0847457627118642</c:v>
                </c:pt>
                <c:pt idx="17">
                  <c:v>2.152542372881356</c:v>
                </c:pt>
                <c:pt idx="18">
                  <c:v>2.2203389830508478</c:v>
                </c:pt>
                <c:pt idx="19">
                  <c:v>2.2881355932203391</c:v>
                </c:pt>
                <c:pt idx="20">
                  <c:v>2.3559322033898304</c:v>
                </c:pt>
                <c:pt idx="21">
                  <c:v>2.4237288135593218</c:v>
                </c:pt>
                <c:pt idx="22">
                  <c:v>2.4915254237288136</c:v>
                </c:pt>
                <c:pt idx="23">
                  <c:v>2.5593220338983054</c:v>
                </c:pt>
                <c:pt idx="24">
                  <c:v>2.6271186440677967</c:v>
                </c:pt>
                <c:pt idx="25">
                  <c:v>2.6949152542372881</c:v>
                </c:pt>
                <c:pt idx="26">
                  <c:v>2.7627118644067794</c:v>
                </c:pt>
                <c:pt idx="27">
                  <c:v>2.8305084745762712</c:v>
                </c:pt>
                <c:pt idx="28">
                  <c:v>2.898305084745763</c:v>
                </c:pt>
                <c:pt idx="29">
                  <c:v>2.9661016949152543</c:v>
                </c:pt>
                <c:pt idx="30">
                  <c:v>3.0338983050847457</c:v>
                </c:pt>
                <c:pt idx="31">
                  <c:v>3.1016949152542375</c:v>
                </c:pt>
                <c:pt idx="32">
                  <c:v>3.1694915254237288</c:v>
                </c:pt>
                <c:pt idx="33">
                  <c:v>3.2372881355932202</c:v>
                </c:pt>
                <c:pt idx="34">
                  <c:v>3.3050847457627119</c:v>
                </c:pt>
                <c:pt idx="35">
                  <c:v>3.3728813559322033</c:v>
                </c:pt>
                <c:pt idx="36">
                  <c:v>3.4406779661016951</c:v>
                </c:pt>
                <c:pt idx="37">
                  <c:v>3.5084745762711864</c:v>
                </c:pt>
                <c:pt idx="38">
                  <c:v>3.5762711864406778</c:v>
                </c:pt>
                <c:pt idx="39">
                  <c:v>3.6440677966101696</c:v>
                </c:pt>
                <c:pt idx="40">
                  <c:v>3.7118644067796609</c:v>
                </c:pt>
                <c:pt idx="41">
                  <c:v>3.7796610169491527</c:v>
                </c:pt>
                <c:pt idx="42">
                  <c:v>3.847457627118644</c:v>
                </c:pt>
                <c:pt idx="43">
                  <c:v>3.9152542372881354</c:v>
                </c:pt>
                <c:pt idx="44">
                  <c:v>3.9830508474576272</c:v>
                </c:pt>
                <c:pt idx="45">
                  <c:v>4.0508474576271185</c:v>
                </c:pt>
                <c:pt idx="46">
                  <c:v>4.1186440677966107</c:v>
                </c:pt>
                <c:pt idx="47">
                  <c:v>4.1864406779661021</c:v>
                </c:pt>
                <c:pt idx="48">
                  <c:v>4.2542372881355934</c:v>
                </c:pt>
                <c:pt idx="49">
                  <c:v>4.3220338983050848</c:v>
                </c:pt>
                <c:pt idx="50">
                  <c:v>4.3898305084745761</c:v>
                </c:pt>
                <c:pt idx="51">
                  <c:v>4.4576271186440675</c:v>
                </c:pt>
                <c:pt idx="52">
                  <c:v>4.5254237288135588</c:v>
                </c:pt>
                <c:pt idx="53">
                  <c:v>4.593220338983051</c:v>
                </c:pt>
                <c:pt idx="54">
                  <c:v>4.6610169491525424</c:v>
                </c:pt>
                <c:pt idx="55">
                  <c:v>4.7288135593220337</c:v>
                </c:pt>
                <c:pt idx="56">
                  <c:v>4.796610169491526</c:v>
                </c:pt>
                <c:pt idx="57">
                  <c:v>4.8644067796610173</c:v>
                </c:pt>
                <c:pt idx="58">
                  <c:v>4.9322033898305087</c:v>
                </c:pt>
                <c:pt idx="59">
                  <c:v>5</c:v>
                </c:pt>
              </c:numCache>
            </c:numRef>
          </c:xVal>
          <c:yVal>
            <c:numRef>
              <c:f>Расчёты_графиков!$L$91:$L$150</c:f>
              <c:numCache>
                <c:formatCode>General</c:formatCode>
                <c:ptCount val="60"/>
                <c:pt idx="0">
                  <c:v>17.354335620711169</c:v>
                </c:pt>
                <c:pt idx="1">
                  <c:v>17.267993275320642</c:v>
                </c:pt>
                <c:pt idx="2">
                  <c:v>17.181650929930111</c:v>
                </c:pt>
                <c:pt idx="3">
                  <c:v>17.095308584539584</c:v>
                </c:pt>
                <c:pt idx="4">
                  <c:v>17.008966239149053</c:v>
                </c:pt>
                <c:pt idx="5">
                  <c:v>16.922623893758526</c:v>
                </c:pt>
                <c:pt idx="6">
                  <c:v>16.836281548368</c:v>
                </c:pt>
                <c:pt idx="7">
                  <c:v>16.749939202977469</c:v>
                </c:pt>
                <c:pt idx="8">
                  <c:v>16.663596857586942</c:v>
                </c:pt>
                <c:pt idx="9">
                  <c:v>16.577254512196411</c:v>
                </c:pt>
                <c:pt idx="10">
                  <c:v>16.490912166805884</c:v>
                </c:pt>
                <c:pt idx="11">
                  <c:v>16.404569821415357</c:v>
                </c:pt>
                <c:pt idx="12">
                  <c:v>16.318227476024827</c:v>
                </c:pt>
                <c:pt idx="13">
                  <c:v>16.2318851306343</c:v>
                </c:pt>
                <c:pt idx="14">
                  <c:v>16.145542785243769</c:v>
                </c:pt>
                <c:pt idx="15">
                  <c:v>16.059200439853242</c:v>
                </c:pt>
                <c:pt idx="16">
                  <c:v>15.972858094462715</c:v>
                </c:pt>
                <c:pt idx="17">
                  <c:v>15.886515749072187</c:v>
                </c:pt>
                <c:pt idx="18">
                  <c:v>15.800173403681658</c:v>
                </c:pt>
                <c:pt idx="19">
                  <c:v>15.713831058291129</c:v>
                </c:pt>
                <c:pt idx="20">
                  <c:v>15.6274887129006</c:v>
                </c:pt>
                <c:pt idx="21">
                  <c:v>15.541146367510073</c:v>
                </c:pt>
                <c:pt idx="22">
                  <c:v>15.454804022119545</c:v>
                </c:pt>
                <c:pt idx="23">
                  <c:v>15.368461676729016</c:v>
                </c:pt>
                <c:pt idx="24">
                  <c:v>15.282119331338487</c:v>
                </c:pt>
                <c:pt idx="25">
                  <c:v>15.19577698594796</c:v>
                </c:pt>
                <c:pt idx="26">
                  <c:v>15.109434640557431</c:v>
                </c:pt>
                <c:pt idx="27">
                  <c:v>15.023092295166903</c:v>
                </c:pt>
                <c:pt idx="28">
                  <c:v>14.936749949776374</c:v>
                </c:pt>
                <c:pt idx="29">
                  <c:v>14.850407604385847</c:v>
                </c:pt>
                <c:pt idx="30">
                  <c:v>14.764065258995318</c:v>
                </c:pt>
                <c:pt idx="31">
                  <c:v>14.677722913604789</c:v>
                </c:pt>
                <c:pt idx="32">
                  <c:v>14.591380568214262</c:v>
                </c:pt>
                <c:pt idx="33">
                  <c:v>14.505038222823732</c:v>
                </c:pt>
                <c:pt idx="34">
                  <c:v>14.418695877433205</c:v>
                </c:pt>
                <c:pt idx="35">
                  <c:v>14.332353532042676</c:v>
                </c:pt>
                <c:pt idx="36">
                  <c:v>14.246011186652147</c:v>
                </c:pt>
                <c:pt idx="37">
                  <c:v>14.15966884126162</c:v>
                </c:pt>
                <c:pt idx="38">
                  <c:v>14.073326495871092</c:v>
                </c:pt>
                <c:pt idx="39">
                  <c:v>13.986984150480563</c:v>
                </c:pt>
                <c:pt idx="40">
                  <c:v>13.900641805090036</c:v>
                </c:pt>
                <c:pt idx="41">
                  <c:v>13.814299459699505</c:v>
                </c:pt>
                <c:pt idx="42">
                  <c:v>13.727957114308978</c:v>
                </c:pt>
                <c:pt idx="43">
                  <c:v>13.641614768918449</c:v>
                </c:pt>
                <c:pt idx="44">
                  <c:v>13.555272423527921</c:v>
                </c:pt>
                <c:pt idx="45">
                  <c:v>13.468930078137394</c:v>
                </c:pt>
                <c:pt idx="46">
                  <c:v>13.382587732746863</c:v>
                </c:pt>
                <c:pt idx="47">
                  <c:v>13.296245387356336</c:v>
                </c:pt>
                <c:pt idx="48">
                  <c:v>13.209903041965807</c:v>
                </c:pt>
                <c:pt idx="49">
                  <c:v>13.123560696575279</c:v>
                </c:pt>
                <c:pt idx="50">
                  <c:v>13.037218351184752</c:v>
                </c:pt>
                <c:pt idx="51">
                  <c:v>12.950876005794223</c:v>
                </c:pt>
                <c:pt idx="52">
                  <c:v>12.864533660403694</c:v>
                </c:pt>
                <c:pt idx="53">
                  <c:v>12.778191315013165</c:v>
                </c:pt>
                <c:pt idx="54">
                  <c:v>12.691848969622637</c:v>
                </c:pt>
                <c:pt idx="55">
                  <c:v>12.60550662423211</c:v>
                </c:pt>
                <c:pt idx="56">
                  <c:v>12.519164278841579</c:v>
                </c:pt>
                <c:pt idx="57">
                  <c:v>12.432821933451052</c:v>
                </c:pt>
                <c:pt idx="58">
                  <c:v>12.346479588060525</c:v>
                </c:pt>
                <c:pt idx="59">
                  <c:v>12.260137242669996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E5E-4818-818A-AEC4FDFF2DBC}"/>
            </c:ext>
          </c:extLst>
        </c:ser>
        <c:ser>
          <c:idx val="2"/>
          <c:order val="2"/>
          <c:tx>
            <c:v>95% доверительный интервал</c:v>
          </c:tx>
          <c:spPr>
            <a:ln w="19050">
              <a:solidFill>
                <a:srgbClr val="89939C"/>
              </a:solidFill>
              <a:prstDash val="dash"/>
            </a:ln>
          </c:spPr>
          <c:marker>
            <c:symbol val="none"/>
          </c:marker>
          <c:xVal>
            <c:numRef>
              <c:f>Расчёты_графиков!$S$91:$S$211</c:f>
              <c:numCache>
                <c:formatCode>General</c:formatCode>
                <c:ptCount val="121"/>
                <c:pt idx="0">
                  <c:v>1</c:v>
                </c:pt>
                <c:pt idx="1">
                  <c:v>1.0677966101694916</c:v>
                </c:pt>
                <c:pt idx="2">
                  <c:v>1.1355932203389831</c:v>
                </c:pt>
                <c:pt idx="3">
                  <c:v>1.2033898305084745</c:v>
                </c:pt>
                <c:pt idx="4">
                  <c:v>1.271186440677966</c:v>
                </c:pt>
                <c:pt idx="5">
                  <c:v>1.3389830508474576</c:v>
                </c:pt>
                <c:pt idx="6">
                  <c:v>1.4067796610169492</c:v>
                </c:pt>
                <c:pt idx="7">
                  <c:v>1.4745762711864407</c:v>
                </c:pt>
                <c:pt idx="8">
                  <c:v>1.5423728813559321</c:v>
                </c:pt>
                <c:pt idx="9">
                  <c:v>1.6101694915254239</c:v>
                </c:pt>
                <c:pt idx="10">
                  <c:v>1.6779661016949152</c:v>
                </c:pt>
                <c:pt idx="11">
                  <c:v>1.7457627118644068</c:v>
                </c:pt>
                <c:pt idx="12">
                  <c:v>1.8135593220338984</c:v>
                </c:pt>
                <c:pt idx="13">
                  <c:v>1.8813559322033897</c:v>
                </c:pt>
                <c:pt idx="14">
                  <c:v>1.9491525423728815</c:v>
                </c:pt>
                <c:pt idx="15">
                  <c:v>2.0169491525423728</c:v>
                </c:pt>
                <c:pt idx="16">
                  <c:v>2.0847457627118642</c:v>
                </c:pt>
                <c:pt idx="17">
                  <c:v>2.152542372881356</c:v>
                </c:pt>
                <c:pt idx="18">
                  <c:v>2.2203389830508478</c:v>
                </c:pt>
                <c:pt idx="19">
                  <c:v>2.2881355932203391</c:v>
                </c:pt>
                <c:pt idx="20">
                  <c:v>2.3559322033898304</c:v>
                </c:pt>
                <c:pt idx="21">
                  <c:v>2.4237288135593218</c:v>
                </c:pt>
                <c:pt idx="22">
                  <c:v>2.4915254237288136</c:v>
                </c:pt>
                <c:pt idx="23">
                  <c:v>2.5593220338983054</c:v>
                </c:pt>
                <c:pt idx="24">
                  <c:v>2.6271186440677967</c:v>
                </c:pt>
                <c:pt idx="25">
                  <c:v>2.6949152542372881</c:v>
                </c:pt>
                <c:pt idx="26">
                  <c:v>2.7627118644067794</c:v>
                </c:pt>
                <c:pt idx="27">
                  <c:v>2.8305084745762712</c:v>
                </c:pt>
                <c:pt idx="28">
                  <c:v>2.898305084745763</c:v>
                </c:pt>
                <c:pt idx="29">
                  <c:v>2.9661016949152543</c:v>
                </c:pt>
                <c:pt idx="30">
                  <c:v>3.0338983050847457</c:v>
                </c:pt>
                <c:pt idx="31">
                  <c:v>3.1016949152542375</c:v>
                </c:pt>
                <c:pt idx="32">
                  <c:v>3.1694915254237288</c:v>
                </c:pt>
                <c:pt idx="33">
                  <c:v>3.2372881355932202</c:v>
                </c:pt>
                <c:pt idx="34">
                  <c:v>3.3050847457627119</c:v>
                </c:pt>
                <c:pt idx="35">
                  <c:v>3.3728813559322033</c:v>
                </c:pt>
                <c:pt idx="36">
                  <c:v>3.4406779661016951</c:v>
                </c:pt>
                <c:pt idx="37">
                  <c:v>3.5084745762711864</c:v>
                </c:pt>
                <c:pt idx="38">
                  <c:v>3.5762711864406778</c:v>
                </c:pt>
                <c:pt idx="39">
                  <c:v>3.6440677966101696</c:v>
                </c:pt>
                <c:pt idx="40">
                  <c:v>3.7118644067796609</c:v>
                </c:pt>
                <c:pt idx="41">
                  <c:v>3.7796610169491527</c:v>
                </c:pt>
                <c:pt idx="42">
                  <c:v>3.847457627118644</c:v>
                </c:pt>
                <c:pt idx="43">
                  <c:v>3.9152542372881354</c:v>
                </c:pt>
                <c:pt idx="44">
                  <c:v>3.9830508474576272</c:v>
                </c:pt>
                <c:pt idx="45">
                  <c:v>4.0508474576271185</c:v>
                </c:pt>
                <c:pt idx="46">
                  <c:v>4.1186440677966107</c:v>
                </c:pt>
                <c:pt idx="47">
                  <c:v>4.1864406779661021</c:v>
                </c:pt>
                <c:pt idx="48">
                  <c:v>4.2542372881355934</c:v>
                </c:pt>
                <c:pt idx="49">
                  <c:v>4.3220338983050848</c:v>
                </c:pt>
                <c:pt idx="50">
                  <c:v>4.3898305084745761</c:v>
                </c:pt>
                <c:pt idx="51">
                  <c:v>4.4576271186440675</c:v>
                </c:pt>
                <c:pt idx="52">
                  <c:v>4.5254237288135588</c:v>
                </c:pt>
                <c:pt idx="53">
                  <c:v>4.593220338983051</c:v>
                </c:pt>
                <c:pt idx="54">
                  <c:v>4.6610169491525424</c:v>
                </c:pt>
                <c:pt idx="55">
                  <c:v>4.7288135593220337</c:v>
                </c:pt>
                <c:pt idx="56">
                  <c:v>4.796610169491526</c:v>
                </c:pt>
                <c:pt idx="57">
                  <c:v>4.8644067796610173</c:v>
                </c:pt>
                <c:pt idx="58">
                  <c:v>4.9322033898305087</c:v>
                </c:pt>
                <c:pt idx="59">
                  <c:v>5</c:v>
                </c:pt>
                <c:pt idx="61">
                  <c:v>1</c:v>
                </c:pt>
                <c:pt idx="62">
                  <c:v>1.0677966101694916</c:v>
                </c:pt>
                <c:pt idx="63">
                  <c:v>1.1355932203389831</c:v>
                </c:pt>
                <c:pt idx="64">
                  <c:v>1.2033898305084745</c:v>
                </c:pt>
                <c:pt idx="65">
                  <c:v>1.271186440677966</c:v>
                </c:pt>
                <c:pt idx="66">
                  <c:v>1.3389830508474576</c:v>
                </c:pt>
                <c:pt idx="67">
                  <c:v>1.4067796610169492</c:v>
                </c:pt>
                <c:pt idx="68">
                  <c:v>1.4745762711864407</c:v>
                </c:pt>
                <c:pt idx="69">
                  <c:v>1.5423728813559321</c:v>
                </c:pt>
                <c:pt idx="70">
                  <c:v>1.6101694915254239</c:v>
                </c:pt>
                <c:pt idx="71">
                  <c:v>1.6779661016949152</c:v>
                </c:pt>
                <c:pt idx="72">
                  <c:v>1.7457627118644068</c:v>
                </c:pt>
                <c:pt idx="73">
                  <c:v>1.8135593220338984</c:v>
                </c:pt>
                <c:pt idx="74">
                  <c:v>1.8813559322033897</c:v>
                </c:pt>
                <c:pt idx="75">
                  <c:v>1.9491525423728815</c:v>
                </c:pt>
                <c:pt idx="76">
                  <c:v>2.0169491525423728</c:v>
                </c:pt>
                <c:pt idx="77">
                  <c:v>2.0847457627118642</c:v>
                </c:pt>
                <c:pt idx="78">
                  <c:v>2.152542372881356</c:v>
                </c:pt>
                <c:pt idx="79">
                  <c:v>2.2203389830508478</c:v>
                </c:pt>
                <c:pt idx="80">
                  <c:v>2.2881355932203391</c:v>
                </c:pt>
                <c:pt idx="81">
                  <c:v>2.3559322033898304</c:v>
                </c:pt>
                <c:pt idx="82">
                  <c:v>2.4237288135593218</c:v>
                </c:pt>
                <c:pt idx="83">
                  <c:v>2.4915254237288136</c:v>
                </c:pt>
                <c:pt idx="84">
                  <c:v>2.5593220338983054</c:v>
                </c:pt>
                <c:pt idx="85">
                  <c:v>2.6271186440677967</c:v>
                </c:pt>
                <c:pt idx="86">
                  <c:v>2.6949152542372881</c:v>
                </c:pt>
                <c:pt idx="87">
                  <c:v>2.7627118644067794</c:v>
                </c:pt>
                <c:pt idx="88">
                  <c:v>2.8305084745762712</c:v>
                </c:pt>
                <c:pt idx="89">
                  <c:v>2.898305084745763</c:v>
                </c:pt>
                <c:pt idx="90">
                  <c:v>2.9661016949152543</c:v>
                </c:pt>
                <c:pt idx="91">
                  <c:v>3.0338983050847457</c:v>
                </c:pt>
                <c:pt idx="92">
                  <c:v>3.1016949152542375</c:v>
                </c:pt>
                <c:pt idx="93">
                  <c:v>3.1694915254237288</c:v>
                </c:pt>
                <c:pt idx="94">
                  <c:v>3.2372881355932202</c:v>
                </c:pt>
                <c:pt idx="95">
                  <c:v>3.3050847457627119</c:v>
                </c:pt>
                <c:pt idx="96">
                  <c:v>3.3728813559322033</c:v>
                </c:pt>
                <c:pt idx="97">
                  <c:v>3.4406779661016951</c:v>
                </c:pt>
                <c:pt idx="98">
                  <c:v>3.5084745762711864</c:v>
                </c:pt>
                <c:pt idx="99">
                  <c:v>3.5762711864406778</c:v>
                </c:pt>
                <c:pt idx="100">
                  <c:v>3.6440677966101696</c:v>
                </c:pt>
                <c:pt idx="101">
                  <c:v>3.7118644067796609</c:v>
                </c:pt>
                <c:pt idx="102">
                  <c:v>3.7796610169491527</c:v>
                </c:pt>
                <c:pt idx="103">
                  <c:v>3.847457627118644</c:v>
                </c:pt>
                <c:pt idx="104">
                  <c:v>3.9152542372881354</c:v>
                </c:pt>
                <c:pt idx="105">
                  <c:v>3.9830508474576272</c:v>
                </c:pt>
                <c:pt idx="106">
                  <c:v>4.0508474576271185</c:v>
                </c:pt>
                <c:pt idx="107">
                  <c:v>4.1186440677966107</c:v>
                </c:pt>
                <c:pt idx="108">
                  <c:v>4.1864406779661021</c:v>
                </c:pt>
                <c:pt idx="109">
                  <c:v>4.2542372881355934</c:v>
                </c:pt>
                <c:pt idx="110">
                  <c:v>4.3220338983050848</c:v>
                </c:pt>
                <c:pt idx="111">
                  <c:v>4.3898305084745761</c:v>
                </c:pt>
                <c:pt idx="112">
                  <c:v>4.4576271186440675</c:v>
                </c:pt>
                <c:pt idx="113">
                  <c:v>4.5254237288135588</c:v>
                </c:pt>
                <c:pt idx="114">
                  <c:v>4.593220338983051</c:v>
                </c:pt>
                <c:pt idx="115">
                  <c:v>4.6610169491525424</c:v>
                </c:pt>
                <c:pt idx="116">
                  <c:v>4.7288135593220337</c:v>
                </c:pt>
                <c:pt idx="117">
                  <c:v>4.796610169491526</c:v>
                </c:pt>
                <c:pt idx="118">
                  <c:v>4.8644067796610173</c:v>
                </c:pt>
                <c:pt idx="119">
                  <c:v>4.9322033898305087</c:v>
                </c:pt>
                <c:pt idx="120">
                  <c:v>5</c:v>
                </c:pt>
              </c:numCache>
            </c:numRef>
          </c:xVal>
          <c:yVal>
            <c:numRef>
              <c:f>Расчёты_графиков!$T$91:$T$211</c:f>
              <c:numCache>
                <c:formatCode>General</c:formatCode>
                <c:ptCount val="121"/>
                <c:pt idx="0">
                  <c:v>14.675244850946276</c:v>
                </c:pt>
                <c:pt idx="1">
                  <c:v>14.656361318896799</c:v>
                </c:pt>
                <c:pt idx="2">
                  <c:v>14.637003370496901</c:v>
                </c:pt>
                <c:pt idx="3">
                  <c:v>14.61713253542908</c:v>
                </c:pt>
                <c:pt idx="4">
                  <c:v>14.596706414465801</c:v>
                </c:pt>
                <c:pt idx="5">
                  <c:v>14.575678219926857</c:v>
                </c:pt>
                <c:pt idx="6">
                  <c:v>14.55399626103123</c:v>
                </c:pt>
                <c:pt idx="7">
                  <c:v>14.53160336897691</c:v>
                </c:pt>
                <c:pt idx="8">
                  <c:v>14.508436256896493</c:v>
                </c:pt>
                <c:pt idx="9">
                  <c:v>14.484424810604269</c:v>
                </c:pt>
                <c:pt idx="10">
                  <c:v>14.459491307479958</c:v>
                </c:pt>
                <c:pt idx="11">
                  <c:v>14.433549563203107</c:v>
                </c:pt>
                <c:pt idx="12">
                  <c:v>14.406504009724831</c:v>
                </c:pt>
                <c:pt idx="13">
                  <c:v>14.378248713301753</c:v>
                </c:pt>
                <c:pt idx="14">
                  <c:v>14.348666349185576</c:v>
                </c:pt>
                <c:pt idx="15">
                  <c:v>14.317627160315075</c:v>
                </c:pt>
                <c:pt idx="16">
                  <c:v>14.284987941790467</c:v>
                </c:pt>
                <c:pt idx="17">
                  <c:v>14.250591111656778</c:v>
                </c:pt>
                <c:pt idx="18">
                  <c:v>14.214263951958763</c:v>
                </c:pt>
                <c:pt idx="19">
                  <c:v>14.175818131958691</c:v>
                </c:pt>
                <c:pt idx="20">
                  <c:v>14.135049656587842</c:v>
                </c:pt>
                <c:pt idx="21">
                  <c:v>14.091739414722092</c:v>
                </c:pt>
                <c:pt idx="22">
                  <c:v>14.045654528448647</c:v>
                </c:pt>
                <c:pt idx="23">
                  <c:v>13.996550717892353</c:v>
                </c:pt>
                <c:pt idx="24">
                  <c:v>13.94417588515711</c:v>
                </c:pt>
                <c:pt idx="25">
                  <c:v>13.888275072326548</c:v>
                </c:pt>
                <c:pt idx="26">
                  <c:v>13.82859684996567</c:v>
                </c:pt>
                <c:pt idx="27">
                  <c:v>13.764901037753031</c:v>
                </c:pt>
                <c:pt idx="28">
                  <c:v>13.69696745377242</c:v>
                </c:pt>
                <c:pt idx="29">
                  <c:v>13.624605158106972</c:v>
                </c:pt>
                <c:pt idx="30">
                  <c:v>13.547661444487515</c:v>
                </c:pt>
                <c:pt idx="31">
                  <c:v>13.466029699406006</c:v>
                </c:pt>
                <c:pt idx="32">
                  <c:v>13.379655247251627</c:v>
                </c:pt>
                <c:pt idx="33">
                  <c:v>13.288538463543439</c:v>
                </c:pt>
                <c:pt idx="34">
                  <c:v>13.192734753279426</c:v>
                </c:pt>
                <c:pt idx="35">
                  <c:v>13.092351397252511</c:v>
                </c:pt>
                <c:pt idx="36">
                  <c:v>12.987541674358617</c:v>
                </c:pt>
                <c:pt idx="37">
                  <c:v>12.878496981126981</c:v>
                </c:pt>
                <c:pt idx="38">
                  <c:v>12.765437830972674</c:v>
                </c:pt>
                <c:pt idx="39">
                  <c:v>12.648604612726393</c:v>
                </c:pt>
                <c:pt idx="40">
                  <c:v>12.528248852204914</c:v>
                </c:pt>
                <c:pt idx="41">
                  <c:v>12.404625508064303</c:v>
                </c:pt>
                <c:pt idx="42">
                  <c:v>12.277986602384944</c:v>
                </c:pt>
                <c:pt idx="43">
                  <c:v>12.14857628189942</c:v>
                </c:pt>
                <c:pt idx="44">
                  <c:v>12.016627251718878</c:v>
                </c:pt>
                <c:pt idx="45">
                  <c:v>11.882358425648018</c:v>
                </c:pt>
                <c:pt idx="46">
                  <c:v>11.745973589164192</c:v>
                </c:pt>
                <c:pt idx="47">
                  <c:v>11.607660860538921</c:v>
                </c:pt>
                <c:pt idx="48">
                  <c:v>11.467592749228052</c:v>
                </c:pt>
                <c:pt idx="49">
                  <c:v>11.325926637348251</c:v>
                </c:pt>
                <c:pt idx="50">
                  <c:v>11.182805541601477</c:v>
                </c:pt>
                <c:pt idx="51">
                  <c:v>11.038359044159524</c:v>
                </c:pt>
                <c:pt idx="52">
                  <c:v>10.892704308894118</c:v>
                </c:pt>
                <c:pt idx="53">
                  <c:v>10.745947122710152</c:v>
                </c:pt>
                <c:pt idx="54">
                  <c:v>10.598182920424639</c:v>
                </c:pt>
                <c:pt idx="55">
                  <c:v>10.449497766012886</c:v>
                </c:pt>
                <c:pt idx="56">
                  <c:v>10.299969273751772</c:v>
                </c:pt>
                <c:pt idx="57">
                  <c:v>10.149667460522924</c:v>
                </c:pt>
                <c:pt idx="58">
                  <c:v>9.9986555259493386</c:v>
                </c:pt>
                <c:pt idx="59">
                  <c:v>9.8469905606912143</c:v>
                </c:pt>
                <c:pt idx="61">
                  <c:v>20.033426390476059</c:v>
                </c:pt>
                <c:pt idx="62">
                  <c:v>19.879625231744484</c:v>
                </c:pt>
                <c:pt idx="63">
                  <c:v>19.72629848936332</c:v>
                </c:pt>
                <c:pt idx="64">
                  <c:v>19.573484633650086</c:v>
                </c:pt>
                <c:pt idx="65">
                  <c:v>19.421226063832307</c:v>
                </c:pt>
                <c:pt idx="66">
                  <c:v>19.269569567590196</c:v>
                </c:pt>
                <c:pt idx="67">
                  <c:v>19.118566835704769</c:v>
                </c:pt>
                <c:pt idx="68">
                  <c:v>18.968275036978028</c:v>
                </c:pt>
                <c:pt idx="69">
                  <c:v>18.818757458277393</c:v>
                </c:pt>
                <c:pt idx="70">
                  <c:v>18.670084213788556</c:v>
                </c:pt>
                <c:pt idx="71">
                  <c:v>18.522333026131811</c:v>
                </c:pt>
                <c:pt idx="72">
                  <c:v>18.375590079627607</c:v>
                </c:pt>
                <c:pt idx="73">
                  <c:v>18.229950942324823</c:v>
                </c:pt>
                <c:pt idx="74">
                  <c:v>18.085521547966849</c:v>
                </c:pt>
                <c:pt idx="75">
                  <c:v>17.942419221301961</c:v>
                </c:pt>
                <c:pt idx="76">
                  <c:v>17.800773719391408</c:v>
                </c:pt>
                <c:pt idx="77">
                  <c:v>17.660728247134966</c:v>
                </c:pt>
                <c:pt idx="78">
                  <c:v>17.522440386487595</c:v>
                </c:pt>
                <c:pt idx="79">
                  <c:v>17.386082855404553</c:v>
                </c:pt>
                <c:pt idx="80">
                  <c:v>17.251843984623569</c:v>
                </c:pt>
                <c:pt idx="81">
                  <c:v>17.119927769213358</c:v>
                </c:pt>
                <c:pt idx="82">
                  <c:v>16.990553320298055</c:v>
                </c:pt>
                <c:pt idx="83">
                  <c:v>16.863953515790442</c:v>
                </c:pt>
                <c:pt idx="84">
                  <c:v>16.740372635565677</c:v>
                </c:pt>
                <c:pt idx="85">
                  <c:v>16.620062777519866</c:v>
                </c:pt>
                <c:pt idx="86">
                  <c:v>16.50327889956937</c:v>
                </c:pt>
                <c:pt idx="87">
                  <c:v>16.390272431149192</c:v>
                </c:pt>
                <c:pt idx="88">
                  <c:v>16.281283552580774</c:v>
                </c:pt>
                <c:pt idx="89">
                  <c:v>16.176532445780328</c:v>
                </c:pt>
                <c:pt idx="90">
                  <c:v>16.076210050664724</c:v>
                </c:pt>
                <c:pt idx="91">
                  <c:v>15.980469073503121</c:v>
                </c:pt>
                <c:pt idx="92">
                  <c:v>15.889416127803573</c:v>
                </c:pt>
                <c:pt idx="93">
                  <c:v>15.803105889176898</c:v>
                </c:pt>
                <c:pt idx="94">
                  <c:v>15.721537982104024</c:v>
                </c:pt>
                <c:pt idx="95">
                  <c:v>15.644657001586983</c:v>
                </c:pt>
                <c:pt idx="96">
                  <c:v>15.572355666832841</c:v>
                </c:pt>
                <c:pt idx="97">
                  <c:v>15.504480698945677</c:v>
                </c:pt>
                <c:pt idx="98">
                  <c:v>15.44084070139626</c:v>
                </c:pt>
                <c:pt idx="99">
                  <c:v>15.381215160769509</c:v>
                </c:pt>
                <c:pt idx="100">
                  <c:v>15.325363688234733</c:v>
                </c:pt>
                <c:pt idx="101">
                  <c:v>15.273034757975157</c:v>
                </c:pt>
                <c:pt idx="102">
                  <c:v>15.223973411334708</c:v>
                </c:pt>
                <c:pt idx="103">
                  <c:v>15.177927626233013</c:v>
                </c:pt>
                <c:pt idx="104">
                  <c:v>15.134653255937479</c:v>
                </c:pt>
                <c:pt idx="105">
                  <c:v>15.093917595336963</c:v>
                </c:pt>
                <c:pt idx="106">
                  <c:v>15.055501730626769</c:v>
                </c:pt>
                <c:pt idx="107">
                  <c:v>15.019201876329534</c:v>
                </c:pt>
                <c:pt idx="108">
                  <c:v>14.984829914173751</c:v>
                </c:pt>
                <c:pt idx="109">
                  <c:v>14.952213334703563</c:v>
                </c:pt>
                <c:pt idx="110">
                  <c:v>14.921194755802306</c:v>
                </c:pt>
                <c:pt idx="111">
                  <c:v>14.891631160768027</c:v>
                </c:pt>
                <c:pt idx="112">
                  <c:v>14.863392967428922</c:v>
                </c:pt>
                <c:pt idx="113">
                  <c:v>14.836363011913271</c:v>
                </c:pt>
                <c:pt idx="114">
                  <c:v>14.810435507316178</c:v>
                </c:pt>
                <c:pt idx="115">
                  <c:v>14.785515018820634</c:v>
                </c:pt>
                <c:pt idx="116">
                  <c:v>14.761515482451333</c:v>
                </c:pt>
                <c:pt idx="117">
                  <c:v>14.738359283931386</c:v>
                </c:pt>
                <c:pt idx="118">
                  <c:v>14.71597640637918</c:v>
                </c:pt>
                <c:pt idx="119">
                  <c:v>14.694303650171712</c:v>
                </c:pt>
                <c:pt idx="120">
                  <c:v>14.673283924648779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E5E-4818-818A-AEC4FDFF2D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ax val="6"/>
          <c:min val="0"/>
        </c:scaling>
        <c:delete val="0"/>
        <c:axPos val="b"/>
        <c:title>
          <c:tx>
            <c:strRef>
              <c:f>Регрессия_графики!$D$8</c:f>
              <c:strCache>
                <c:ptCount val="1"/>
                <c:pt idx="0">
                  <c:v>Л1</c:v>
                </c:pt>
              </c:strCache>
            </c:strRef>
          </c:tx>
          <c:overlay val="0"/>
          <c:txPr>
            <a:bodyPr/>
            <a:lstStyle/>
            <a:p>
              <a:pPr>
                <a:defRPr sz="1100" b="1">
                  <a:solidFill>
                    <a:srgbClr val="263746"/>
                  </a:solidFill>
                  <a:latin typeface="Arial"/>
                </a:defRPr>
              </a:pPr>
              <a:endParaRPr lang="ru-RU"/>
            </a:p>
          </c:txPr>
        </c:title>
        <c:numFmt formatCode="[&lt;1]&quot;&quot;;[&gt;5]&quot;&quot;;0" sourceLinked="0"/>
        <c:majorTickMark val="out"/>
        <c:minorTickMark val="none"/>
        <c:tickLblPos val="low"/>
        <c:spPr>
          <a:ln w="9525">
            <a:solidFill>
              <a:srgbClr val="263746"/>
            </a:solidFill>
            <a:prstDash val="solid"/>
          </a:ln>
        </c:spPr>
        <c:txPr>
          <a:bodyPr/>
          <a:lstStyle/>
          <a:p>
            <a:pPr>
              <a:defRPr sz="1000" b="0">
                <a:solidFill>
                  <a:srgbClr val="263746"/>
                </a:solidFill>
                <a:latin typeface="Arial"/>
              </a:defRPr>
            </a:pPr>
            <a:endParaRPr lang="ru-RU"/>
          </a:p>
        </c:txPr>
        <c:crossAx val="20"/>
        <c:crosses val="autoZero"/>
        <c:crossBetween val="midCat"/>
        <c:majorUnit val="1"/>
      </c:valAx>
      <c:valAx>
        <c:axId val="20"/>
        <c:scaling>
          <c:orientation val="minMax"/>
          <c:max val="30"/>
          <c:min val="0"/>
        </c:scaling>
        <c:delete val="0"/>
        <c:axPos val="l"/>
        <c:majorGridlines>
          <c:spPr>
            <a:ln w="6350">
              <a:solidFill>
                <a:srgbClr val="E4E9EC"/>
              </a:solidFill>
              <a:prstDash val="solid"/>
            </a:ln>
          </c:spPr>
        </c:majorGridlines>
        <c:title>
          <c:tx>
            <c:strRef>
              <c:f>Регрессия_графики!$J$8</c:f>
              <c:strCache>
                <c:ptCount val="1"/>
                <c:pt idx="0">
                  <c:v>К1</c:v>
                </c:pt>
              </c:strCache>
            </c:strRef>
          </c:tx>
          <c:overlay val="0"/>
          <c:txPr>
            <a:bodyPr/>
            <a:lstStyle/>
            <a:p>
              <a:pPr>
                <a:defRPr sz="1100" b="1">
                  <a:solidFill>
                    <a:srgbClr val="263746"/>
                  </a:solidFill>
                  <a:latin typeface="Arial"/>
                </a:defRPr>
              </a:pPr>
              <a:endParaRPr lang="ru-RU"/>
            </a:p>
          </c:txPr>
        </c:title>
        <c:numFmt formatCode="0" sourceLinked="0"/>
        <c:majorTickMark val="out"/>
        <c:minorTickMark val="none"/>
        <c:tickLblPos val="low"/>
        <c:spPr>
          <a:ln w="9525">
            <a:solidFill>
              <a:srgbClr val="263746"/>
            </a:solidFill>
            <a:prstDash val="solid"/>
          </a:ln>
        </c:spPr>
        <c:txPr>
          <a:bodyPr/>
          <a:lstStyle/>
          <a:p>
            <a:pPr>
              <a:defRPr sz="1000" b="0">
                <a:solidFill>
                  <a:srgbClr val="263746"/>
                </a:solidFill>
                <a:latin typeface="Arial"/>
              </a:defRPr>
            </a:pPr>
            <a:endParaRPr lang="ru-RU"/>
          </a:p>
        </c:txPr>
        <c:crossAx val="10"/>
        <c:crosses val="autoZero"/>
        <c:crossBetween val="midCat"/>
        <c:majorUnit val="5"/>
      </c:valAx>
      <c:spPr>
        <a:solidFill>
          <a:srgbClr val="FFFFFF"/>
        </a:solidFill>
        <a:ln>
          <a:prstDash val="solid"/>
        </a:ln>
      </c:spPr>
    </c:plotArea>
    <c:legend>
      <c:legendPos val="b"/>
      <c:overlay val="0"/>
      <c:txPr>
        <a:bodyPr/>
        <a:lstStyle/>
        <a:p>
          <a:pPr>
            <a:defRPr sz="950" b="0">
              <a:solidFill>
                <a:srgbClr val="263746"/>
              </a:solidFill>
              <a:latin typeface="Arial"/>
            </a:defRPr>
          </a:pPr>
          <a:endParaRPr lang="ru-RU"/>
        </a:p>
      </c:txPr>
    </c:legend>
    <c:plotVisOnly val="1"/>
    <c:dispBlanksAs val="gap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strRef>
          <c:f>Расчёты_графиков!$B$336</c:f>
          <c:strCache>
            <c:ptCount val="1"/>
            <c:pt idx="0">
              <c:v>Линейная регрессия К2 по Л1
ŷ = 26,514 + 0,439x; R² = 0,018; p = 0,2579; n = 74</c:v>
            </c:pt>
          </c:strCache>
        </c:strRef>
      </c:tx>
      <c:overlay val="0"/>
      <c:txPr>
        <a:bodyPr/>
        <a:lstStyle/>
        <a:p>
          <a:pPr>
            <a:defRPr sz="1200" b="0">
              <a:solidFill>
                <a:srgbClr val="263746"/>
              </a:solidFill>
              <a:latin typeface="Arial"/>
            </a:defRPr>
          </a:pPr>
          <a:endParaRPr lang="ru-RU"/>
        </a:p>
      </c:txPr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Наблюдения</c:v>
          </c:tx>
          <c:spPr>
            <a:ln>
              <a:noFill/>
              <a:prstDash val="solid"/>
            </a:ln>
          </c:spPr>
          <c:marker>
            <c:symbol val="circle"/>
            <c:size val="6"/>
            <c:spPr>
              <a:solidFill>
                <a:srgbClr val="83969E"/>
              </a:solidFill>
              <a:ln>
                <a:noFill/>
                <a:prstDash val="solid"/>
              </a:ln>
            </c:spPr>
          </c:marker>
          <c:xVal>
            <c:numRef>
              <c:f>Расчёты_графиков!$S$242:$S$315</c:f>
              <c:numCache>
                <c:formatCode>General</c:formatCode>
                <c:ptCount val="74"/>
                <c:pt idx="0">
                  <c:v>1</c:v>
                </c:pt>
                <c:pt idx="1">
                  <c:v>1.96</c:v>
                </c:pt>
                <c:pt idx="2">
                  <c:v>1.92</c:v>
                </c:pt>
                <c:pt idx="3">
                  <c:v>1.96</c:v>
                </c:pt>
                <c:pt idx="4">
                  <c:v>0.96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2.04</c:v>
                </c:pt>
                <c:pt idx="9">
                  <c:v>1</c:v>
                </c:pt>
                <c:pt idx="10">
                  <c:v>2</c:v>
                </c:pt>
                <c:pt idx="11">
                  <c:v>1</c:v>
                </c:pt>
                <c:pt idx="12">
                  <c:v>1.04</c:v>
                </c:pt>
                <c:pt idx="13">
                  <c:v>1.96</c:v>
                </c:pt>
                <c:pt idx="14">
                  <c:v>2</c:v>
                </c:pt>
                <c:pt idx="15">
                  <c:v>2.08</c:v>
                </c:pt>
                <c:pt idx="16">
                  <c:v>2.04</c:v>
                </c:pt>
                <c:pt idx="17">
                  <c:v>2.04</c:v>
                </c:pt>
                <c:pt idx="18">
                  <c:v>2</c:v>
                </c:pt>
                <c:pt idx="19">
                  <c:v>3.92</c:v>
                </c:pt>
                <c:pt idx="20">
                  <c:v>2.96</c:v>
                </c:pt>
                <c:pt idx="21">
                  <c:v>2.88</c:v>
                </c:pt>
                <c:pt idx="22">
                  <c:v>2.84</c:v>
                </c:pt>
                <c:pt idx="23">
                  <c:v>3</c:v>
                </c:pt>
                <c:pt idx="24">
                  <c:v>2.8</c:v>
                </c:pt>
                <c:pt idx="25">
                  <c:v>2.96</c:v>
                </c:pt>
                <c:pt idx="26">
                  <c:v>2.96</c:v>
                </c:pt>
                <c:pt idx="27">
                  <c:v>2.92</c:v>
                </c:pt>
                <c:pt idx="28">
                  <c:v>2.88</c:v>
                </c:pt>
                <c:pt idx="29">
                  <c:v>3.96</c:v>
                </c:pt>
                <c:pt idx="30">
                  <c:v>3</c:v>
                </c:pt>
                <c:pt idx="31">
                  <c:v>2.96</c:v>
                </c:pt>
                <c:pt idx="32">
                  <c:v>2.96</c:v>
                </c:pt>
                <c:pt idx="33">
                  <c:v>3.04</c:v>
                </c:pt>
                <c:pt idx="34">
                  <c:v>3.84</c:v>
                </c:pt>
                <c:pt idx="35">
                  <c:v>3</c:v>
                </c:pt>
                <c:pt idx="36">
                  <c:v>2.96</c:v>
                </c:pt>
                <c:pt idx="37">
                  <c:v>4</c:v>
                </c:pt>
                <c:pt idx="38">
                  <c:v>3.08</c:v>
                </c:pt>
                <c:pt idx="39">
                  <c:v>4</c:v>
                </c:pt>
                <c:pt idx="40">
                  <c:v>3.04</c:v>
                </c:pt>
                <c:pt idx="41">
                  <c:v>3.92</c:v>
                </c:pt>
                <c:pt idx="42">
                  <c:v>3.04</c:v>
                </c:pt>
                <c:pt idx="43">
                  <c:v>3.04</c:v>
                </c:pt>
                <c:pt idx="44">
                  <c:v>3.96</c:v>
                </c:pt>
                <c:pt idx="45">
                  <c:v>3.04</c:v>
                </c:pt>
                <c:pt idx="46">
                  <c:v>3.92</c:v>
                </c:pt>
                <c:pt idx="47">
                  <c:v>3.04</c:v>
                </c:pt>
                <c:pt idx="48">
                  <c:v>3.12</c:v>
                </c:pt>
                <c:pt idx="49">
                  <c:v>3.16</c:v>
                </c:pt>
                <c:pt idx="50">
                  <c:v>3.2</c:v>
                </c:pt>
                <c:pt idx="51">
                  <c:v>4</c:v>
                </c:pt>
                <c:pt idx="52">
                  <c:v>3.12</c:v>
                </c:pt>
                <c:pt idx="53">
                  <c:v>3.92</c:v>
                </c:pt>
                <c:pt idx="54">
                  <c:v>4.04</c:v>
                </c:pt>
                <c:pt idx="55">
                  <c:v>4.08</c:v>
                </c:pt>
                <c:pt idx="56">
                  <c:v>4</c:v>
                </c:pt>
                <c:pt idx="57">
                  <c:v>4</c:v>
                </c:pt>
                <c:pt idx="58">
                  <c:v>3.96</c:v>
                </c:pt>
                <c:pt idx="59">
                  <c:v>4.96</c:v>
                </c:pt>
                <c:pt idx="60">
                  <c:v>4</c:v>
                </c:pt>
                <c:pt idx="61">
                  <c:v>4</c:v>
                </c:pt>
                <c:pt idx="62">
                  <c:v>4.04</c:v>
                </c:pt>
                <c:pt idx="63">
                  <c:v>4.08</c:v>
                </c:pt>
                <c:pt idx="64">
                  <c:v>4</c:v>
                </c:pt>
                <c:pt idx="65">
                  <c:v>5.04</c:v>
                </c:pt>
                <c:pt idx="66">
                  <c:v>5</c:v>
                </c:pt>
                <c:pt idx="67">
                  <c:v>4.08</c:v>
                </c:pt>
                <c:pt idx="68">
                  <c:v>4.04</c:v>
                </c:pt>
                <c:pt idx="69">
                  <c:v>4.96</c:v>
                </c:pt>
                <c:pt idx="70">
                  <c:v>5.04</c:v>
                </c:pt>
                <c:pt idx="71">
                  <c:v>5</c:v>
                </c:pt>
                <c:pt idx="72">
                  <c:v>4.08</c:v>
                </c:pt>
                <c:pt idx="73">
                  <c:v>4.16</c:v>
                </c:pt>
              </c:numCache>
            </c:numRef>
          </c:xVal>
          <c:yVal>
            <c:numRef>
              <c:f>Данные!$D$2:$D$75</c:f>
              <c:numCache>
                <c:formatCode>General</c:formatCode>
                <c:ptCount val="74"/>
                <c:pt idx="0">
                  <c:v>31</c:v>
                </c:pt>
                <c:pt idx="1">
                  <c:v>31</c:v>
                </c:pt>
                <c:pt idx="2">
                  <c:v>23</c:v>
                </c:pt>
                <c:pt idx="3">
                  <c:v>25</c:v>
                </c:pt>
                <c:pt idx="4">
                  <c:v>30</c:v>
                </c:pt>
                <c:pt idx="5">
                  <c:v>28</c:v>
                </c:pt>
                <c:pt idx="6">
                  <c:v>35</c:v>
                </c:pt>
                <c:pt idx="7">
                  <c:v>33</c:v>
                </c:pt>
                <c:pt idx="8">
                  <c:v>25</c:v>
                </c:pt>
                <c:pt idx="9">
                  <c:v>24</c:v>
                </c:pt>
                <c:pt idx="10">
                  <c:v>20</c:v>
                </c:pt>
                <c:pt idx="11">
                  <c:v>26</c:v>
                </c:pt>
                <c:pt idx="12">
                  <c:v>30</c:v>
                </c:pt>
                <c:pt idx="13">
                  <c:v>24</c:v>
                </c:pt>
                <c:pt idx="14">
                  <c:v>23</c:v>
                </c:pt>
                <c:pt idx="15">
                  <c:v>23</c:v>
                </c:pt>
                <c:pt idx="16">
                  <c:v>31</c:v>
                </c:pt>
                <c:pt idx="17">
                  <c:v>24</c:v>
                </c:pt>
                <c:pt idx="18">
                  <c:v>22</c:v>
                </c:pt>
                <c:pt idx="19">
                  <c:v>25</c:v>
                </c:pt>
                <c:pt idx="20">
                  <c:v>35</c:v>
                </c:pt>
                <c:pt idx="21">
                  <c:v>25</c:v>
                </c:pt>
                <c:pt idx="22">
                  <c:v>26</c:v>
                </c:pt>
                <c:pt idx="23">
                  <c:v>24</c:v>
                </c:pt>
                <c:pt idx="24">
                  <c:v>27</c:v>
                </c:pt>
                <c:pt idx="25">
                  <c:v>28</c:v>
                </c:pt>
                <c:pt idx="26">
                  <c:v>29</c:v>
                </c:pt>
                <c:pt idx="27">
                  <c:v>26</c:v>
                </c:pt>
                <c:pt idx="28">
                  <c:v>27</c:v>
                </c:pt>
                <c:pt idx="29">
                  <c:v>32</c:v>
                </c:pt>
                <c:pt idx="30">
                  <c:v>26</c:v>
                </c:pt>
                <c:pt idx="31">
                  <c:v>27</c:v>
                </c:pt>
                <c:pt idx="32">
                  <c:v>30</c:v>
                </c:pt>
                <c:pt idx="33">
                  <c:v>27</c:v>
                </c:pt>
                <c:pt idx="34">
                  <c:v>28</c:v>
                </c:pt>
                <c:pt idx="35">
                  <c:v>31</c:v>
                </c:pt>
                <c:pt idx="36">
                  <c:v>25</c:v>
                </c:pt>
                <c:pt idx="37">
                  <c:v>25</c:v>
                </c:pt>
                <c:pt idx="38">
                  <c:v>26</c:v>
                </c:pt>
                <c:pt idx="39">
                  <c:v>24</c:v>
                </c:pt>
                <c:pt idx="40">
                  <c:v>25</c:v>
                </c:pt>
                <c:pt idx="41">
                  <c:v>33</c:v>
                </c:pt>
                <c:pt idx="42">
                  <c:v>29</c:v>
                </c:pt>
                <c:pt idx="43">
                  <c:v>35</c:v>
                </c:pt>
                <c:pt idx="44">
                  <c:v>29</c:v>
                </c:pt>
                <c:pt idx="45">
                  <c:v>28</c:v>
                </c:pt>
                <c:pt idx="46">
                  <c:v>28</c:v>
                </c:pt>
                <c:pt idx="47">
                  <c:v>30</c:v>
                </c:pt>
                <c:pt idx="48">
                  <c:v>27</c:v>
                </c:pt>
                <c:pt idx="49">
                  <c:v>26</c:v>
                </c:pt>
                <c:pt idx="50">
                  <c:v>27</c:v>
                </c:pt>
                <c:pt idx="51">
                  <c:v>28</c:v>
                </c:pt>
                <c:pt idx="52">
                  <c:v>25</c:v>
                </c:pt>
                <c:pt idx="53">
                  <c:v>26</c:v>
                </c:pt>
                <c:pt idx="54">
                  <c:v>32</c:v>
                </c:pt>
                <c:pt idx="55">
                  <c:v>25</c:v>
                </c:pt>
                <c:pt idx="56">
                  <c:v>26</c:v>
                </c:pt>
                <c:pt idx="57">
                  <c:v>27</c:v>
                </c:pt>
                <c:pt idx="58">
                  <c:v>31</c:v>
                </c:pt>
                <c:pt idx="59">
                  <c:v>24</c:v>
                </c:pt>
                <c:pt idx="60">
                  <c:v>35</c:v>
                </c:pt>
                <c:pt idx="61">
                  <c:v>39</c:v>
                </c:pt>
                <c:pt idx="62">
                  <c:v>29</c:v>
                </c:pt>
                <c:pt idx="63">
                  <c:v>26</c:v>
                </c:pt>
                <c:pt idx="64">
                  <c:v>33</c:v>
                </c:pt>
                <c:pt idx="65">
                  <c:v>24</c:v>
                </c:pt>
                <c:pt idx="66">
                  <c:v>27</c:v>
                </c:pt>
                <c:pt idx="67">
                  <c:v>28</c:v>
                </c:pt>
                <c:pt idx="68">
                  <c:v>31</c:v>
                </c:pt>
                <c:pt idx="69">
                  <c:v>30</c:v>
                </c:pt>
                <c:pt idx="70">
                  <c:v>30</c:v>
                </c:pt>
                <c:pt idx="71">
                  <c:v>29</c:v>
                </c:pt>
                <c:pt idx="72">
                  <c:v>33</c:v>
                </c:pt>
                <c:pt idx="73">
                  <c:v>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377-4DB1-9EF1-8FBC12EC7F55}"/>
            </c:ext>
          </c:extLst>
        </c:ser>
        <c:ser>
          <c:idx val="1"/>
          <c:order val="1"/>
          <c:tx>
            <c:v>Линия регрессии</c:v>
          </c:tx>
          <c:spPr>
            <a:ln w="31750">
              <a:solidFill>
                <a:srgbClr val="D83E50"/>
              </a:solidFill>
              <a:prstDash val="solid"/>
            </a:ln>
          </c:spPr>
          <c:marker>
            <c:symbol val="none"/>
          </c:marker>
          <c:xVal>
            <c:numRef>
              <c:f>Расчёты_графиков!$K$321:$K$380</c:f>
              <c:numCache>
                <c:formatCode>General</c:formatCode>
                <c:ptCount val="60"/>
                <c:pt idx="0">
                  <c:v>1</c:v>
                </c:pt>
                <c:pt idx="1">
                  <c:v>1.0677966101694916</c:v>
                </c:pt>
                <c:pt idx="2">
                  <c:v>1.1355932203389831</c:v>
                </c:pt>
                <c:pt idx="3">
                  <c:v>1.2033898305084745</c:v>
                </c:pt>
                <c:pt idx="4">
                  <c:v>1.271186440677966</c:v>
                </c:pt>
                <c:pt idx="5">
                  <c:v>1.3389830508474576</c:v>
                </c:pt>
                <c:pt idx="6">
                  <c:v>1.4067796610169492</c:v>
                </c:pt>
                <c:pt idx="7">
                  <c:v>1.4745762711864407</c:v>
                </c:pt>
                <c:pt idx="8">
                  <c:v>1.5423728813559321</c:v>
                </c:pt>
                <c:pt idx="9">
                  <c:v>1.6101694915254239</c:v>
                </c:pt>
                <c:pt idx="10">
                  <c:v>1.6779661016949152</c:v>
                </c:pt>
                <c:pt idx="11">
                  <c:v>1.7457627118644068</c:v>
                </c:pt>
                <c:pt idx="12">
                  <c:v>1.8135593220338984</c:v>
                </c:pt>
                <c:pt idx="13">
                  <c:v>1.8813559322033897</c:v>
                </c:pt>
                <c:pt idx="14">
                  <c:v>1.9491525423728815</c:v>
                </c:pt>
                <c:pt idx="15">
                  <c:v>2.0169491525423728</c:v>
                </c:pt>
                <c:pt idx="16">
                  <c:v>2.0847457627118642</c:v>
                </c:pt>
                <c:pt idx="17">
                  <c:v>2.152542372881356</c:v>
                </c:pt>
                <c:pt idx="18">
                  <c:v>2.2203389830508478</c:v>
                </c:pt>
                <c:pt idx="19">
                  <c:v>2.2881355932203391</c:v>
                </c:pt>
                <c:pt idx="20">
                  <c:v>2.3559322033898304</c:v>
                </c:pt>
                <c:pt idx="21">
                  <c:v>2.4237288135593218</c:v>
                </c:pt>
                <c:pt idx="22">
                  <c:v>2.4915254237288136</c:v>
                </c:pt>
                <c:pt idx="23">
                  <c:v>2.5593220338983054</c:v>
                </c:pt>
                <c:pt idx="24">
                  <c:v>2.6271186440677967</c:v>
                </c:pt>
                <c:pt idx="25">
                  <c:v>2.6949152542372881</c:v>
                </c:pt>
                <c:pt idx="26">
                  <c:v>2.7627118644067794</c:v>
                </c:pt>
                <c:pt idx="27">
                  <c:v>2.8305084745762712</c:v>
                </c:pt>
                <c:pt idx="28">
                  <c:v>2.898305084745763</c:v>
                </c:pt>
                <c:pt idx="29">
                  <c:v>2.9661016949152543</c:v>
                </c:pt>
                <c:pt idx="30">
                  <c:v>3.0338983050847457</c:v>
                </c:pt>
                <c:pt idx="31">
                  <c:v>3.1016949152542375</c:v>
                </c:pt>
                <c:pt idx="32">
                  <c:v>3.1694915254237288</c:v>
                </c:pt>
                <c:pt idx="33">
                  <c:v>3.2372881355932202</c:v>
                </c:pt>
                <c:pt idx="34">
                  <c:v>3.3050847457627119</c:v>
                </c:pt>
                <c:pt idx="35">
                  <c:v>3.3728813559322033</c:v>
                </c:pt>
                <c:pt idx="36">
                  <c:v>3.4406779661016951</c:v>
                </c:pt>
                <c:pt idx="37">
                  <c:v>3.5084745762711864</c:v>
                </c:pt>
                <c:pt idx="38">
                  <c:v>3.5762711864406778</c:v>
                </c:pt>
                <c:pt idx="39">
                  <c:v>3.6440677966101696</c:v>
                </c:pt>
                <c:pt idx="40">
                  <c:v>3.7118644067796609</c:v>
                </c:pt>
                <c:pt idx="41">
                  <c:v>3.7796610169491527</c:v>
                </c:pt>
                <c:pt idx="42">
                  <c:v>3.847457627118644</c:v>
                </c:pt>
                <c:pt idx="43">
                  <c:v>3.9152542372881354</c:v>
                </c:pt>
                <c:pt idx="44">
                  <c:v>3.9830508474576272</c:v>
                </c:pt>
                <c:pt idx="45">
                  <c:v>4.0508474576271185</c:v>
                </c:pt>
                <c:pt idx="46">
                  <c:v>4.1186440677966107</c:v>
                </c:pt>
                <c:pt idx="47">
                  <c:v>4.1864406779661021</c:v>
                </c:pt>
                <c:pt idx="48">
                  <c:v>4.2542372881355934</c:v>
                </c:pt>
                <c:pt idx="49">
                  <c:v>4.3220338983050848</c:v>
                </c:pt>
                <c:pt idx="50">
                  <c:v>4.3898305084745761</c:v>
                </c:pt>
                <c:pt idx="51">
                  <c:v>4.4576271186440675</c:v>
                </c:pt>
                <c:pt idx="52">
                  <c:v>4.5254237288135588</c:v>
                </c:pt>
                <c:pt idx="53">
                  <c:v>4.593220338983051</c:v>
                </c:pt>
                <c:pt idx="54">
                  <c:v>4.6610169491525424</c:v>
                </c:pt>
                <c:pt idx="55">
                  <c:v>4.7288135593220337</c:v>
                </c:pt>
                <c:pt idx="56">
                  <c:v>4.796610169491526</c:v>
                </c:pt>
                <c:pt idx="57">
                  <c:v>4.8644067796610173</c:v>
                </c:pt>
                <c:pt idx="58">
                  <c:v>4.9322033898305087</c:v>
                </c:pt>
                <c:pt idx="59">
                  <c:v>5</c:v>
                </c:pt>
              </c:numCache>
            </c:numRef>
          </c:xVal>
          <c:yVal>
            <c:numRef>
              <c:f>Расчёты_графиков!$L$321:$L$380</c:f>
              <c:numCache>
                <c:formatCode>General</c:formatCode>
                <c:ptCount val="60"/>
                <c:pt idx="0">
                  <c:v>26.953524641297566</c:v>
                </c:pt>
                <c:pt idx="1">
                  <c:v>26.98332046903581</c:v>
                </c:pt>
                <c:pt idx="2">
                  <c:v>27.013116296774058</c:v>
                </c:pt>
                <c:pt idx="3">
                  <c:v>27.042912124512302</c:v>
                </c:pt>
                <c:pt idx="4">
                  <c:v>27.072707952250546</c:v>
                </c:pt>
                <c:pt idx="5">
                  <c:v>27.10250377998879</c:v>
                </c:pt>
                <c:pt idx="6">
                  <c:v>27.132299607727038</c:v>
                </c:pt>
                <c:pt idx="7">
                  <c:v>27.162095435465282</c:v>
                </c:pt>
                <c:pt idx="8">
                  <c:v>27.191891263203527</c:v>
                </c:pt>
                <c:pt idx="9">
                  <c:v>27.221687090941771</c:v>
                </c:pt>
                <c:pt idx="10">
                  <c:v>27.251482918680018</c:v>
                </c:pt>
                <c:pt idx="11">
                  <c:v>27.281278746418263</c:v>
                </c:pt>
                <c:pt idx="12">
                  <c:v>27.311074574156507</c:v>
                </c:pt>
                <c:pt idx="13">
                  <c:v>27.340870401894751</c:v>
                </c:pt>
                <c:pt idx="14">
                  <c:v>27.370666229632999</c:v>
                </c:pt>
                <c:pt idx="15">
                  <c:v>27.400462057371243</c:v>
                </c:pt>
                <c:pt idx="16">
                  <c:v>27.430257885109487</c:v>
                </c:pt>
                <c:pt idx="17">
                  <c:v>27.460053712847731</c:v>
                </c:pt>
                <c:pt idx="18">
                  <c:v>27.489849540585979</c:v>
                </c:pt>
                <c:pt idx="19">
                  <c:v>27.519645368324223</c:v>
                </c:pt>
                <c:pt idx="20">
                  <c:v>27.549441196062467</c:v>
                </c:pt>
                <c:pt idx="21">
                  <c:v>27.579237023800712</c:v>
                </c:pt>
                <c:pt idx="22">
                  <c:v>27.609032851538956</c:v>
                </c:pt>
                <c:pt idx="23">
                  <c:v>27.638828679277204</c:v>
                </c:pt>
                <c:pt idx="24">
                  <c:v>27.668624507015448</c:v>
                </c:pt>
                <c:pt idx="25">
                  <c:v>27.698420334753692</c:v>
                </c:pt>
                <c:pt idx="26">
                  <c:v>27.728216162491936</c:v>
                </c:pt>
                <c:pt idx="27">
                  <c:v>27.758011990230184</c:v>
                </c:pt>
                <c:pt idx="28">
                  <c:v>27.787807817968428</c:v>
                </c:pt>
                <c:pt idx="29">
                  <c:v>27.817603645706672</c:v>
                </c:pt>
                <c:pt idx="30">
                  <c:v>27.847399473444916</c:v>
                </c:pt>
                <c:pt idx="31">
                  <c:v>27.877195301183164</c:v>
                </c:pt>
                <c:pt idx="32">
                  <c:v>27.906991128921408</c:v>
                </c:pt>
                <c:pt idx="33">
                  <c:v>27.936786956659653</c:v>
                </c:pt>
                <c:pt idx="34">
                  <c:v>27.966582784397897</c:v>
                </c:pt>
                <c:pt idx="35">
                  <c:v>27.996378612136144</c:v>
                </c:pt>
                <c:pt idx="36">
                  <c:v>28.026174439874389</c:v>
                </c:pt>
                <c:pt idx="37">
                  <c:v>28.055970267612633</c:v>
                </c:pt>
                <c:pt idx="38">
                  <c:v>28.085766095350877</c:v>
                </c:pt>
                <c:pt idx="39">
                  <c:v>28.115561923089125</c:v>
                </c:pt>
                <c:pt idx="40">
                  <c:v>28.145357750827369</c:v>
                </c:pt>
                <c:pt idx="41">
                  <c:v>28.175153578565613</c:v>
                </c:pt>
                <c:pt idx="42">
                  <c:v>28.204949406303857</c:v>
                </c:pt>
                <c:pt idx="43">
                  <c:v>28.234745234042101</c:v>
                </c:pt>
                <c:pt idx="44">
                  <c:v>28.264541061780349</c:v>
                </c:pt>
                <c:pt idx="45">
                  <c:v>28.294336889518593</c:v>
                </c:pt>
                <c:pt idx="46">
                  <c:v>28.324132717256838</c:v>
                </c:pt>
                <c:pt idx="47">
                  <c:v>28.353928544995082</c:v>
                </c:pt>
                <c:pt idx="48">
                  <c:v>28.383724372733329</c:v>
                </c:pt>
                <c:pt idx="49">
                  <c:v>28.413520200471574</c:v>
                </c:pt>
                <c:pt idx="50">
                  <c:v>28.443316028209818</c:v>
                </c:pt>
                <c:pt idx="51">
                  <c:v>28.473111855948062</c:v>
                </c:pt>
                <c:pt idx="52">
                  <c:v>28.50290768368631</c:v>
                </c:pt>
                <c:pt idx="53">
                  <c:v>28.532703511424554</c:v>
                </c:pt>
                <c:pt idx="54">
                  <c:v>28.562499339162798</c:v>
                </c:pt>
                <c:pt idx="55">
                  <c:v>28.592295166901042</c:v>
                </c:pt>
                <c:pt idx="56">
                  <c:v>28.62209099463929</c:v>
                </c:pt>
                <c:pt idx="57">
                  <c:v>28.651886822377534</c:v>
                </c:pt>
                <c:pt idx="58">
                  <c:v>28.681682650115778</c:v>
                </c:pt>
                <c:pt idx="59">
                  <c:v>28.711478477854023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377-4DB1-9EF1-8FBC12EC7F55}"/>
            </c:ext>
          </c:extLst>
        </c:ser>
        <c:ser>
          <c:idx val="2"/>
          <c:order val="2"/>
          <c:tx>
            <c:v>95% доверительный интервал</c:v>
          </c:tx>
          <c:spPr>
            <a:ln w="19050">
              <a:solidFill>
                <a:srgbClr val="89939C"/>
              </a:solidFill>
              <a:prstDash val="dash"/>
            </a:ln>
          </c:spPr>
          <c:marker>
            <c:symbol val="none"/>
          </c:marker>
          <c:xVal>
            <c:numRef>
              <c:f>Расчёты_графиков!$S$321:$S$441</c:f>
              <c:numCache>
                <c:formatCode>General</c:formatCode>
                <c:ptCount val="121"/>
                <c:pt idx="0">
                  <c:v>1</c:v>
                </c:pt>
                <c:pt idx="1">
                  <c:v>1.0677966101694916</c:v>
                </c:pt>
                <c:pt idx="2">
                  <c:v>1.1355932203389831</c:v>
                </c:pt>
                <c:pt idx="3">
                  <c:v>1.2033898305084745</c:v>
                </c:pt>
                <c:pt idx="4">
                  <c:v>1.271186440677966</c:v>
                </c:pt>
                <c:pt idx="5">
                  <c:v>1.3389830508474576</c:v>
                </c:pt>
                <c:pt idx="6">
                  <c:v>1.4067796610169492</c:v>
                </c:pt>
                <c:pt idx="7">
                  <c:v>1.4745762711864407</c:v>
                </c:pt>
                <c:pt idx="8">
                  <c:v>1.5423728813559321</c:v>
                </c:pt>
                <c:pt idx="9">
                  <c:v>1.6101694915254239</c:v>
                </c:pt>
                <c:pt idx="10">
                  <c:v>1.6779661016949152</c:v>
                </c:pt>
                <c:pt idx="11">
                  <c:v>1.7457627118644068</c:v>
                </c:pt>
                <c:pt idx="12">
                  <c:v>1.8135593220338984</c:v>
                </c:pt>
                <c:pt idx="13">
                  <c:v>1.8813559322033897</c:v>
                </c:pt>
                <c:pt idx="14">
                  <c:v>1.9491525423728815</c:v>
                </c:pt>
                <c:pt idx="15">
                  <c:v>2.0169491525423728</c:v>
                </c:pt>
                <c:pt idx="16">
                  <c:v>2.0847457627118642</c:v>
                </c:pt>
                <c:pt idx="17">
                  <c:v>2.152542372881356</c:v>
                </c:pt>
                <c:pt idx="18">
                  <c:v>2.2203389830508478</c:v>
                </c:pt>
                <c:pt idx="19">
                  <c:v>2.2881355932203391</c:v>
                </c:pt>
                <c:pt idx="20">
                  <c:v>2.3559322033898304</c:v>
                </c:pt>
                <c:pt idx="21">
                  <c:v>2.4237288135593218</c:v>
                </c:pt>
                <c:pt idx="22">
                  <c:v>2.4915254237288136</c:v>
                </c:pt>
                <c:pt idx="23">
                  <c:v>2.5593220338983054</c:v>
                </c:pt>
                <c:pt idx="24">
                  <c:v>2.6271186440677967</c:v>
                </c:pt>
                <c:pt idx="25">
                  <c:v>2.6949152542372881</c:v>
                </c:pt>
                <c:pt idx="26">
                  <c:v>2.7627118644067794</c:v>
                </c:pt>
                <c:pt idx="27">
                  <c:v>2.8305084745762712</c:v>
                </c:pt>
                <c:pt idx="28">
                  <c:v>2.898305084745763</c:v>
                </c:pt>
                <c:pt idx="29">
                  <c:v>2.9661016949152543</c:v>
                </c:pt>
                <c:pt idx="30">
                  <c:v>3.0338983050847457</c:v>
                </c:pt>
                <c:pt idx="31">
                  <c:v>3.1016949152542375</c:v>
                </c:pt>
                <c:pt idx="32">
                  <c:v>3.1694915254237288</c:v>
                </c:pt>
                <c:pt idx="33">
                  <c:v>3.2372881355932202</c:v>
                </c:pt>
                <c:pt idx="34">
                  <c:v>3.3050847457627119</c:v>
                </c:pt>
                <c:pt idx="35">
                  <c:v>3.3728813559322033</c:v>
                </c:pt>
                <c:pt idx="36">
                  <c:v>3.4406779661016951</c:v>
                </c:pt>
                <c:pt idx="37">
                  <c:v>3.5084745762711864</c:v>
                </c:pt>
                <c:pt idx="38">
                  <c:v>3.5762711864406778</c:v>
                </c:pt>
                <c:pt idx="39">
                  <c:v>3.6440677966101696</c:v>
                </c:pt>
                <c:pt idx="40">
                  <c:v>3.7118644067796609</c:v>
                </c:pt>
                <c:pt idx="41">
                  <c:v>3.7796610169491527</c:v>
                </c:pt>
                <c:pt idx="42">
                  <c:v>3.847457627118644</c:v>
                </c:pt>
                <c:pt idx="43">
                  <c:v>3.9152542372881354</c:v>
                </c:pt>
                <c:pt idx="44">
                  <c:v>3.9830508474576272</c:v>
                </c:pt>
                <c:pt idx="45">
                  <c:v>4.0508474576271185</c:v>
                </c:pt>
                <c:pt idx="46">
                  <c:v>4.1186440677966107</c:v>
                </c:pt>
                <c:pt idx="47">
                  <c:v>4.1864406779661021</c:v>
                </c:pt>
                <c:pt idx="48">
                  <c:v>4.2542372881355934</c:v>
                </c:pt>
                <c:pt idx="49">
                  <c:v>4.3220338983050848</c:v>
                </c:pt>
                <c:pt idx="50">
                  <c:v>4.3898305084745761</c:v>
                </c:pt>
                <c:pt idx="51">
                  <c:v>4.4576271186440675</c:v>
                </c:pt>
                <c:pt idx="52">
                  <c:v>4.5254237288135588</c:v>
                </c:pt>
                <c:pt idx="53">
                  <c:v>4.593220338983051</c:v>
                </c:pt>
                <c:pt idx="54">
                  <c:v>4.6610169491525424</c:v>
                </c:pt>
                <c:pt idx="55">
                  <c:v>4.7288135593220337</c:v>
                </c:pt>
                <c:pt idx="56">
                  <c:v>4.796610169491526</c:v>
                </c:pt>
                <c:pt idx="57">
                  <c:v>4.8644067796610173</c:v>
                </c:pt>
                <c:pt idx="58">
                  <c:v>4.9322033898305087</c:v>
                </c:pt>
                <c:pt idx="59">
                  <c:v>5</c:v>
                </c:pt>
                <c:pt idx="61">
                  <c:v>1</c:v>
                </c:pt>
                <c:pt idx="62">
                  <c:v>1.0677966101694916</c:v>
                </c:pt>
                <c:pt idx="63">
                  <c:v>1.1355932203389831</c:v>
                </c:pt>
                <c:pt idx="64">
                  <c:v>1.2033898305084745</c:v>
                </c:pt>
                <c:pt idx="65">
                  <c:v>1.271186440677966</c:v>
                </c:pt>
                <c:pt idx="66">
                  <c:v>1.3389830508474576</c:v>
                </c:pt>
                <c:pt idx="67">
                  <c:v>1.4067796610169492</c:v>
                </c:pt>
                <c:pt idx="68">
                  <c:v>1.4745762711864407</c:v>
                </c:pt>
                <c:pt idx="69">
                  <c:v>1.5423728813559321</c:v>
                </c:pt>
                <c:pt idx="70">
                  <c:v>1.6101694915254239</c:v>
                </c:pt>
                <c:pt idx="71">
                  <c:v>1.6779661016949152</c:v>
                </c:pt>
                <c:pt idx="72">
                  <c:v>1.7457627118644068</c:v>
                </c:pt>
                <c:pt idx="73">
                  <c:v>1.8135593220338984</c:v>
                </c:pt>
                <c:pt idx="74">
                  <c:v>1.8813559322033897</c:v>
                </c:pt>
                <c:pt idx="75">
                  <c:v>1.9491525423728815</c:v>
                </c:pt>
                <c:pt idx="76">
                  <c:v>2.0169491525423728</c:v>
                </c:pt>
                <c:pt idx="77">
                  <c:v>2.0847457627118642</c:v>
                </c:pt>
                <c:pt idx="78">
                  <c:v>2.152542372881356</c:v>
                </c:pt>
                <c:pt idx="79">
                  <c:v>2.2203389830508478</c:v>
                </c:pt>
                <c:pt idx="80">
                  <c:v>2.2881355932203391</c:v>
                </c:pt>
                <c:pt idx="81">
                  <c:v>2.3559322033898304</c:v>
                </c:pt>
                <c:pt idx="82">
                  <c:v>2.4237288135593218</c:v>
                </c:pt>
                <c:pt idx="83">
                  <c:v>2.4915254237288136</c:v>
                </c:pt>
                <c:pt idx="84">
                  <c:v>2.5593220338983054</c:v>
                </c:pt>
                <c:pt idx="85">
                  <c:v>2.6271186440677967</c:v>
                </c:pt>
                <c:pt idx="86">
                  <c:v>2.6949152542372881</c:v>
                </c:pt>
                <c:pt idx="87">
                  <c:v>2.7627118644067794</c:v>
                </c:pt>
                <c:pt idx="88">
                  <c:v>2.8305084745762712</c:v>
                </c:pt>
                <c:pt idx="89">
                  <c:v>2.898305084745763</c:v>
                </c:pt>
                <c:pt idx="90">
                  <c:v>2.9661016949152543</c:v>
                </c:pt>
                <c:pt idx="91">
                  <c:v>3.0338983050847457</c:v>
                </c:pt>
                <c:pt idx="92">
                  <c:v>3.1016949152542375</c:v>
                </c:pt>
                <c:pt idx="93">
                  <c:v>3.1694915254237288</c:v>
                </c:pt>
                <c:pt idx="94">
                  <c:v>3.2372881355932202</c:v>
                </c:pt>
                <c:pt idx="95">
                  <c:v>3.3050847457627119</c:v>
                </c:pt>
                <c:pt idx="96">
                  <c:v>3.3728813559322033</c:v>
                </c:pt>
                <c:pt idx="97">
                  <c:v>3.4406779661016951</c:v>
                </c:pt>
                <c:pt idx="98">
                  <c:v>3.5084745762711864</c:v>
                </c:pt>
                <c:pt idx="99">
                  <c:v>3.5762711864406778</c:v>
                </c:pt>
                <c:pt idx="100">
                  <c:v>3.6440677966101696</c:v>
                </c:pt>
                <c:pt idx="101">
                  <c:v>3.7118644067796609</c:v>
                </c:pt>
                <c:pt idx="102">
                  <c:v>3.7796610169491527</c:v>
                </c:pt>
                <c:pt idx="103">
                  <c:v>3.847457627118644</c:v>
                </c:pt>
                <c:pt idx="104">
                  <c:v>3.9152542372881354</c:v>
                </c:pt>
                <c:pt idx="105">
                  <c:v>3.9830508474576272</c:v>
                </c:pt>
                <c:pt idx="106">
                  <c:v>4.0508474576271185</c:v>
                </c:pt>
                <c:pt idx="107">
                  <c:v>4.1186440677966107</c:v>
                </c:pt>
                <c:pt idx="108">
                  <c:v>4.1864406779661021</c:v>
                </c:pt>
                <c:pt idx="109">
                  <c:v>4.2542372881355934</c:v>
                </c:pt>
                <c:pt idx="110">
                  <c:v>4.3220338983050848</c:v>
                </c:pt>
                <c:pt idx="111">
                  <c:v>4.3898305084745761</c:v>
                </c:pt>
                <c:pt idx="112">
                  <c:v>4.4576271186440675</c:v>
                </c:pt>
                <c:pt idx="113">
                  <c:v>4.5254237288135588</c:v>
                </c:pt>
                <c:pt idx="114">
                  <c:v>4.593220338983051</c:v>
                </c:pt>
                <c:pt idx="115">
                  <c:v>4.6610169491525424</c:v>
                </c:pt>
                <c:pt idx="116">
                  <c:v>4.7288135593220337</c:v>
                </c:pt>
                <c:pt idx="117">
                  <c:v>4.796610169491526</c:v>
                </c:pt>
                <c:pt idx="118">
                  <c:v>4.8644067796610173</c:v>
                </c:pt>
                <c:pt idx="119">
                  <c:v>4.9322033898305087</c:v>
                </c:pt>
                <c:pt idx="120">
                  <c:v>5</c:v>
                </c:pt>
              </c:numCache>
            </c:numRef>
          </c:xVal>
          <c:yVal>
            <c:numRef>
              <c:f>Расчёты_графиков!$T$321:$T$441</c:f>
              <c:numCache>
                <c:formatCode>General</c:formatCode>
                <c:ptCount val="121"/>
                <c:pt idx="0">
                  <c:v>25.114755314380492</c:v>
                </c:pt>
                <c:pt idx="1">
                  <c:v>25.190850878656825</c:v>
                </c:pt>
                <c:pt idx="2">
                  <c:v>25.266620831631307</c:v>
                </c:pt>
                <c:pt idx="3">
                  <c:v>25.342038769555082</c:v>
                </c:pt>
                <c:pt idx="4">
                  <c:v>25.417075592108013</c:v>
                </c:pt>
                <c:pt idx="5">
                  <c:v>25.491699186995806</c:v>
                </c:pt>
                <c:pt idx="6">
                  <c:v>25.56587407672599</c:v>
                </c:pt>
                <c:pt idx="7">
                  <c:v>25.639561024016729</c:v>
                </c:pt>
                <c:pt idx="8">
                  <c:v>25.712716592508237</c:v>
                </c:pt>
                <c:pt idx="9">
                  <c:v>25.785292659973553</c:v>
                </c:pt>
                <c:pt idx="10">
                  <c:v>25.857235882206581</c:v>
                </c:pt>
                <c:pt idx="11">
                  <c:v>25.928487107391074</c:v>
                </c:pt>
                <c:pt idx="12">
                  <c:v>25.99898074327503</c:v>
                </c:pt>
                <c:pt idx="13">
                  <c:v>26.068644083207289</c:v>
                </c:pt>
                <c:pt idx="14">
                  <c:v>26.137396602425174</c:v>
                </c:pt>
                <c:pt idx="15">
                  <c:v>26.205149243362264</c:v>
                </c:pt>
                <c:pt idx="16">
                  <c:v>26.271803718651764</c:v>
                </c:pt>
                <c:pt idx="17">
                  <c:v>26.33725187336718</c:v>
                </c:pt>
                <c:pt idx="18">
                  <c:v>26.401375164127341</c:v>
                </c:pt>
                <c:pt idx="19">
                  <c:v>26.464044331861302</c:v>
                </c:pt>
                <c:pt idx="20">
                  <c:v>26.52511936642853</c:v>
                </c:pt>
                <c:pt idx="21">
                  <c:v>26.584449882922776</c:v>
                </c:pt>
                <c:pt idx="22">
                  <c:v>26.641876047728925</c:v>
                </c:pt>
                <c:pt idx="23">
                  <c:v>26.697230201599783</c:v>
                </c:pt>
                <c:pt idx="24">
                  <c:v>26.750339319461336</c:v>
                </c:pt>
                <c:pt idx="25">
                  <c:v>26.801028413290943</c:v>
                </c:pt>
                <c:pt idx="26">
                  <c:v>26.849124916806726</c:v>
                </c:pt>
                <c:pt idx="27">
                  <c:v>26.894463984452507</c:v>
                </c:pt>
                <c:pt idx="28">
                  <c:v>26.936894496393727</c:v>
                </c:pt>
                <c:pt idx="29">
                  <c:v>26.976285402773339</c:v>
                </c:pt>
                <c:pt idx="30">
                  <c:v>27.01253189504698</c:v>
                </c:pt>
                <c:pt idx="31">
                  <c:v>27.045560800013273</c:v>
                </c:pt>
                <c:pt idx="32">
                  <c:v>27.075334591569234</c:v>
                </c:pt>
                <c:pt idx="33">
                  <c:v>27.101853527448927</c:v>
                </c:pt>
                <c:pt idx="34">
                  <c:v>27.125155634363495</c:v>
                </c:pt>
                <c:pt idx="35">
                  <c:v>27.145314543499179</c:v>
                </c:pt>
                <c:pt idx="36">
                  <c:v>27.162435456417434</c:v>
                </c:pt>
                <c:pt idx="37">
                  <c:v>27.176649736367025</c:v>
                </c:pt>
                <c:pt idx="38">
                  <c:v>27.188108730703696</c:v>
                </c:pt>
                <c:pt idx="39">
                  <c:v>27.196977428092044</c:v>
                </c:pt>
                <c:pt idx="40">
                  <c:v>27.203428460964687</c:v>
                </c:pt>
                <c:pt idx="41">
                  <c:v>27.207636817851952</c:v>
                </c:pt>
                <c:pt idx="42">
                  <c:v>27.209775471792433</c:v>
                </c:pt>
                <c:pt idx="43">
                  <c:v>27.210011990652148</c:v>
                </c:pt>
                <c:pt idx="44">
                  <c:v>27.208506089445386</c:v>
                </c:pt>
                <c:pt idx="45">
                  <c:v>27.205408017650015</c:v>
                </c:pt>
                <c:pt idx="46">
                  <c:v>27.200857641555476</c:v>
                </c:pt>
                <c:pt idx="47">
                  <c:v>27.194984074408474</c:v>
                </c:pt>
                <c:pt idx="48">
                  <c:v>27.18790571648853</c:v>
                </c:pt>
                <c:pt idx="49">
                  <c:v>27.179730585564961</c:v>
                </c:pt>
                <c:pt idx="50">
                  <c:v>27.170556839836713</c:v>
                </c:pt>
                <c:pt idx="51">
                  <c:v>27.160473416836446</c:v>
                </c:pt>
                <c:pt idx="52">
                  <c:v>27.149560730910693</c:v>
                </c:pt>
                <c:pt idx="53">
                  <c:v>27.137891387929358</c:v>
                </c:pt>
                <c:pt idx="54">
                  <c:v>27.125530888701981</c:v>
                </c:pt>
                <c:pt idx="55">
                  <c:v>27.112538302447021</c:v>
                </c:pt>
                <c:pt idx="56">
                  <c:v>27.09896689901008</c:v>
                </c:pt>
                <c:pt idx="57">
                  <c:v>27.084864733834344</c:v>
                </c:pt>
                <c:pt idx="58">
                  <c:v>27.070275183400213</c:v>
                </c:pt>
                <c:pt idx="59">
                  <c:v>27.055237431357604</c:v>
                </c:pt>
                <c:pt idx="61">
                  <c:v>28.79229396821464</c:v>
                </c:pt>
                <c:pt idx="62">
                  <c:v>28.775790059414796</c:v>
                </c:pt>
                <c:pt idx="63">
                  <c:v>28.759611761916808</c:v>
                </c:pt>
                <c:pt idx="64">
                  <c:v>28.743785479469523</c:v>
                </c:pt>
                <c:pt idx="65">
                  <c:v>28.72834031239308</c:v>
                </c:pt>
                <c:pt idx="66">
                  <c:v>28.713308372981775</c:v>
                </c:pt>
                <c:pt idx="67">
                  <c:v>28.698725138728086</c:v>
                </c:pt>
                <c:pt idx="68">
                  <c:v>28.684629846913836</c:v>
                </c:pt>
                <c:pt idx="69">
                  <c:v>28.671065933898817</c:v>
                </c:pt>
                <c:pt idx="70">
                  <c:v>28.658081521909988</c:v>
                </c:pt>
                <c:pt idx="71">
                  <c:v>28.645729955153456</c:v>
                </c:pt>
                <c:pt idx="72">
                  <c:v>28.634070385445451</c:v>
                </c:pt>
                <c:pt idx="73">
                  <c:v>28.623168405037983</c:v>
                </c:pt>
                <c:pt idx="74">
                  <c:v>28.613096720582213</c:v>
                </c:pt>
                <c:pt idx="75">
                  <c:v>28.603935856840824</c:v>
                </c:pt>
                <c:pt idx="76">
                  <c:v>28.595774871380222</c:v>
                </c:pt>
                <c:pt idx="77">
                  <c:v>28.58871205156721</c:v>
                </c:pt>
                <c:pt idx="78">
                  <c:v>28.582855552328283</c:v>
                </c:pt>
                <c:pt idx="79">
                  <c:v>28.578323917044617</c:v>
                </c:pt>
                <c:pt idx="80">
                  <c:v>28.575246404787144</c:v>
                </c:pt>
                <c:pt idx="81">
                  <c:v>28.573763025696405</c:v>
                </c:pt>
                <c:pt idx="82">
                  <c:v>28.574024164678647</c:v>
                </c:pt>
                <c:pt idx="83">
                  <c:v>28.576189655348987</c:v>
                </c:pt>
                <c:pt idx="84">
                  <c:v>28.580427156954624</c:v>
                </c:pt>
                <c:pt idx="85">
                  <c:v>28.58690969456956</c:v>
                </c:pt>
                <c:pt idx="86">
                  <c:v>28.595812256216441</c:v>
                </c:pt>
                <c:pt idx="87">
                  <c:v>28.607307408177146</c:v>
                </c:pt>
                <c:pt idx="88">
                  <c:v>28.621559996007861</c:v>
                </c:pt>
                <c:pt idx="89">
                  <c:v>28.638721139543129</c:v>
                </c:pt>
                <c:pt idx="90">
                  <c:v>28.658921888640005</c:v>
                </c:pt>
                <c:pt idx="91">
                  <c:v>28.682267051842853</c:v>
                </c:pt>
                <c:pt idx="92">
                  <c:v>28.708829802353055</c:v>
                </c:pt>
                <c:pt idx="93">
                  <c:v>28.738647666273582</c:v>
                </c:pt>
                <c:pt idx="94">
                  <c:v>28.771720385870378</c:v>
                </c:pt>
                <c:pt idx="95">
                  <c:v>28.808009934432299</c:v>
                </c:pt>
                <c:pt idx="96">
                  <c:v>28.84744268077311</c:v>
                </c:pt>
                <c:pt idx="97">
                  <c:v>28.889913423331343</c:v>
                </c:pt>
                <c:pt idx="98">
                  <c:v>28.93529079885824</c:v>
                </c:pt>
                <c:pt idx="99">
                  <c:v>28.983423459998058</c:v>
                </c:pt>
                <c:pt idx="100">
                  <c:v>29.034146418086205</c:v>
                </c:pt>
                <c:pt idx="101">
                  <c:v>29.08728704069005</c:v>
                </c:pt>
                <c:pt idx="102">
                  <c:v>29.142670339279274</c:v>
                </c:pt>
                <c:pt idx="103">
                  <c:v>29.200123340815281</c:v>
                </c:pt>
                <c:pt idx="104">
                  <c:v>29.259478477432054</c:v>
                </c:pt>
                <c:pt idx="105">
                  <c:v>29.320576034115312</c:v>
                </c:pt>
                <c:pt idx="106">
                  <c:v>29.383265761387172</c:v>
                </c:pt>
                <c:pt idx="107">
                  <c:v>29.447407792958199</c:v>
                </c:pt>
                <c:pt idx="108">
                  <c:v>29.51287301558169</c:v>
                </c:pt>
                <c:pt idx="109">
                  <c:v>29.579543028978129</c:v>
                </c:pt>
                <c:pt idx="110">
                  <c:v>29.647309815378186</c:v>
                </c:pt>
                <c:pt idx="111">
                  <c:v>29.716075216582922</c:v>
                </c:pt>
                <c:pt idx="112">
                  <c:v>29.785750295059678</c:v>
                </c:pt>
                <c:pt idx="113">
                  <c:v>29.856254636461927</c:v>
                </c:pt>
                <c:pt idx="114">
                  <c:v>29.92751563491975</c:v>
                </c:pt>
                <c:pt idx="115">
                  <c:v>29.999467789623615</c:v>
                </c:pt>
                <c:pt idx="116">
                  <c:v>30.072052031355064</c:v>
                </c:pt>
                <c:pt idx="117">
                  <c:v>30.145215090268501</c:v>
                </c:pt>
                <c:pt idx="118">
                  <c:v>30.218908910920725</c:v>
                </c:pt>
                <c:pt idx="119">
                  <c:v>30.293090116831344</c:v>
                </c:pt>
                <c:pt idx="120">
                  <c:v>30.367719524350441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377-4DB1-9EF1-8FBC12EC7F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ax val="6"/>
          <c:min val="0"/>
        </c:scaling>
        <c:delete val="0"/>
        <c:axPos val="b"/>
        <c:title>
          <c:tx>
            <c:strRef>
              <c:f>Регрессия_графики!$D$40</c:f>
              <c:strCache>
                <c:ptCount val="1"/>
                <c:pt idx="0">
                  <c:v>Л1</c:v>
                </c:pt>
              </c:strCache>
            </c:strRef>
          </c:tx>
          <c:overlay val="0"/>
          <c:txPr>
            <a:bodyPr/>
            <a:lstStyle/>
            <a:p>
              <a:pPr>
                <a:defRPr sz="1100" b="1">
                  <a:solidFill>
                    <a:srgbClr val="263746"/>
                  </a:solidFill>
                  <a:latin typeface="Arial"/>
                </a:defRPr>
              </a:pPr>
              <a:endParaRPr lang="ru-RU"/>
            </a:p>
          </c:txPr>
        </c:title>
        <c:numFmt formatCode="[&lt;1]&quot;&quot;;[&gt;5]&quot;&quot;;0" sourceLinked="0"/>
        <c:majorTickMark val="out"/>
        <c:minorTickMark val="none"/>
        <c:tickLblPos val="low"/>
        <c:spPr>
          <a:ln w="9525">
            <a:solidFill>
              <a:srgbClr val="263746"/>
            </a:solidFill>
            <a:prstDash val="solid"/>
          </a:ln>
        </c:spPr>
        <c:txPr>
          <a:bodyPr/>
          <a:lstStyle/>
          <a:p>
            <a:pPr>
              <a:defRPr sz="1000" b="0">
                <a:solidFill>
                  <a:srgbClr val="263746"/>
                </a:solidFill>
                <a:latin typeface="Arial"/>
              </a:defRPr>
            </a:pPr>
            <a:endParaRPr lang="ru-RU"/>
          </a:p>
        </c:txPr>
        <c:crossAx val="20"/>
        <c:crosses val="autoZero"/>
        <c:crossBetween val="midCat"/>
        <c:majorUnit val="1"/>
      </c:valAx>
      <c:valAx>
        <c:axId val="20"/>
        <c:scaling>
          <c:orientation val="minMax"/>
          <c:max val="45"/>
          <c:min val="15"/>
        </c:scaling>
        <c:delete val="0"/>
        <c:axPos val="l"/>
        <c:majorGridlines>
          <c:spPr>
            <a:ln w="6350">
              <a:solidFill>
                <a:srgbClr val="E4E9EC"/>
              </a:solidFill>
              <a:prstDash val="solid"/>
            </a:ln>
          </c:spPr>
        </c:majorGridlines>
        <c:title>
          <c:tx>
            <c:strRef>
              <c:f>Регрессия_графики!$J$40</c:f>
              <c:strCache>
                <c:ptCount val="1"/>
                <c:pt idx="0">
                  <c:v>К2</c:v>
                </c:pt>
              </c:strCache>
            </c:strRef>
          </c:tx>
          <c:overlay val="0"/>
          <c:txPr>
            <a:bodyPr/>
            <a:lstStyle/>
            <a:p>
              <a:pPr>
                <a:defRPr sz="1100" b="1">
                  <a:solidFill>
                    <a:srgbClr val="263746"/>
                  </a:solidFill>
                  <a:latin typeface="Arial"/>
                </a:defRPr>
              </a:pPr>
              <a:endParaRPr lang="ru-RU"/>
            </a:p>
          </c:txPr>
        </c:title>
        <c:numFmt formatCode="0" sourceLinked="0"/>
        <c:majorTickMark val="out"/>
        <c:minorTickMark val="none"/>
        <c:tickLblPos val="low"/>
        <c:spPr>
          <a:ln w="9525">
            <a:solidFill>
              <a:srgbClr val="263746"/>
            </a:solidFill>
            <a:prstDash val="solid"/>
          </a:ln>
        </c:spPr>
        <c:txPr>
          <a:bodyPr/>
          <a:lstStyle/>
          <a:p>
            <a:pPr>
              <a:defRPr sz="1000" b="0">
                <a:solidFill>
                  <a:srgbClr val="263746"/>
                </a:solidFill>
                <a:latin typeface="Arial"/>
              </a:defRPr>
            </a:pPr>
            <a:endParaRPr lang="ru-RU"/>
          </a:p>
        </c:txPr>
        <c:crossAx val="10"/>
        <c:crosses val="autoZero"/>
        <c:crossBetween val="midCat"/>
        <c:majorUnit val="5"/>
      </c:valAx>
      <c:spPr>
        <a:solidFill>
          <a:srgbClr val="FFFFFF"/>
        </a:solidFill>
        <a:ln>
          <a:prstDash val="solid"/>
        </a:ln>
      </c:spPr>
    </c:plotArea>
    <c:legend>
      <c:legendPos val="b"/>
      <c:overlay val="0"/>
      <c:txPr>
        <a:bodyPr/>
        <a:lstStyle/>
        <a:p>
          <a:pPr>
            <a:defRPr sz="950" b="0">
              <a:solidFill>
                <a:srgbClr val="263746"/>
              </a:solidFill>
              <a:latin typeface="Arial"/>
            </a:defRPr>
          </a:pPr>
          <a:endParaRPr lang="ru-RU"/>
        </a:p>
      </c:txPr>
    </c:legend>
    <c:plotVisOnly val="1"/>
    <c:dispBlanksAs val="gap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strRef>
          <c:f>Расчёты_графиков!$B$566</c:f>
          <c:strCache>
            <c:ptCount val="1"/>
            <c:pt idx="0">
              <c:v>Линейная регрессия К3 по Л1
ŷ = 19,757 − 1,276x; R² = 0,141; p = 0,0010; n = 74</c:v>
            </c:pt>
          </c:strCache>
        </c:strRef>
      </c:tx>
      <c:overlay val="0"/>
      <c:txPr>
        <a:bodyPr/>
        <a:lstStyle/>
        <a:p>
          <a:pPr>
            <a:defRPr sz="1200" b="0">
              <a:solidFill>
                <a:srgbClr val="263746"/>
              </a:solidFill>
              <a:latin typeface="Arial"/>
            </a:defRPr>
          </a:pPr>
          <a:endParaRPr lang="ru-RU"/>
        </a:p>
      </c:txPr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Наблюдения</c:v>
          </c:tx>
          <c:spPr>
            <a:ln>
              <a:noFill/>
              <a:prstDash val="solid"/>
            </a:ln>
          </c:spPr>
          <c:marker>
            <c:symbol val="circle"/>
            <c:size val="6"/>
            <c:spPr>
              <a:solidFill>
                <a:srgbClr val="83969E"/>
              </a:solidFill>
              <a:ln>
                <a:noFill/>
                <a:prstDash val="solid"/>
              </a:ln>
            </c:spPr>
          </c:marker>
          <c:xVal>
            <c:numRef>
              <c:f>Расчёты_графиков!$S$472:$S$545</c:f>
              <c:numCache>
                <c:formatCode>General</c:formatCode>
                <c:ptCount val="74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0.96</c:v>
                </c:pt>
                <c:pt idx="5">
                  <c:v>1</c:v>
                </c:pt>
                <c:pt idx="6">
                  <c:v>0.96</c:v>
                </c:pt>
                <c:pt idx="7">
                  <c:v>2</c:v>
                </c:pt>
                <c:pt idx="8">
                  <c:v>1.96</c:v>
                </c:pt>
                <c:pt idx="9">
                  <c:v>1.04</c:v>
                </c:pt>
                <c:pt idx="10">
                  <c:v>2</c:v>
                </c:pt>
                <c:pt idx="11">
                  <c:v>1</c:v>
                </c:pt>
                <c:pt idx="12">
                  <c:v>1.04</c:v>
                </c:pt>
                <c:pt idx="13">
                  <c:v>2.04</c:v>
                </c:pt>
                <c:pt idx="14">
                  <c:v>1.96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2.04</c:v>
                </c:pt>
                <c:pt idx="19">
                  <c:v>3.84</c:v>
                </c:pt>
                <c:pt idx="20">
                  <c:v>2.92</c:v>
                </c:pt>
                <c:pt idx="21">
                  <c:v>2.88</c:v>
                </c:pt>
                <c:pt idx="22">
                  <c:v>3</c:v>
                </c:pt>
                <c:pt idx="23">
                  <c:v>2.96</c:v>
                </c:pt>
                <c:pt idx="24">
                  <c:v>2.92</c:v>
                </c:pt>
                <c:pt idx="25">
                  <c:v>3</c:v>
                </c:pt>
                <c:pt idx="26">
                  <c:v>3</c:v>
                </c:pt>
                <c:pt idx="27">
                  <c:v>2.84</c:v>
                </c:pt>
                <c:pt idx="28">
                  <c:v>2.92</c:v>
                </c:pt>
                <c:pt idx="29">
                  <c:v>3.92</c:v>
                </c:pt>
                <c:pt idx="30">
                  <c:v>3.08</c:v>
                </c:pt>
                <c:pt idx="31">
                  <c:v>3</c:v>
                </c:pt>
                <c:pt idx="32">
                  <c:v>3.04</c:v>
                </c:pt>
                <c:pt idx="33">
                  <c:v>2.96</c:v>
                </c:pt>
                <c:pt idx="34">
                  <c:v>3.88</c:v>
                </c:pt>
                <c:pt idx="35">
                  <c:v>3.04</c:v>
                </c:pt>
                <c:pt idx="36">
                  <c:v>2.96</c:v>
                </c:pt>
                <c:pt idx="37">
                  <c:v>3.92</c:v>
                </c:pt>
                <c:pt idx="38">
                  <c:v>3</c:v>
                </c:pt>
                <c:pt idx="39">
                  <c:v>3.92</c:v>
                </c:pt>
                <c:pt idx="40">
                  <c:v>3.08</c:v>
                </c:pt>
                <c:pt idx="41">
                  <c:v>3.96</c:v>
                </c:pt>
                <c:pt idx="42">
                  <c:v>3.16</c:v>
                </c:pt>
                <c:pt idx="43">
                  <c:v>3.08</c:v>
                </c:pt>
                <c:pt idx="44">
                  <c:v>3.96</c:v>
                </c:pt>
                <c:pt idx="45">
                  <c:v>3</c:v>
                </c:pt>
                <c:pt idx="46">
                  <c:v>4</c:v>
                </c:pt>
                <c:pt idx="47">
                  <c:v>3</c:v>
                </c:pt>
                <c:pt idx="48">
                  <c:v>3.04</c:v>
                </c:pt>
                <c:pt idx="49">
                  <c:v>3</c:v>
                </c:pt>
                <c:pt idx="50">
                  <c:v>3.12</c:v>
                </c:pt>
                <c:pt idx="51">
                  <c:v>4</c:v>
                </c:pt>
                <c:pt idx="52">
                  <c:v>3</c:v>
                </c:pt>
                <c:pt idx="53">
                  <c:v>3.96</c:v>
                </c:pt>
                <c:pt idx="54">
                  <c:v>4.04</c:v>
                </c:pt>
                <c:pt idx="55">
                  <c:v>4</c:v>
                </c:pt>
                <c:pt idx="56">
                  <c:v>4.08</c:v>
                </c:pt>
                <c:pt idx="57">
                  <c:v>4.04</c:v>
                </c:pt>
                <c:pt idx="58">
                  <c:v>4</c:v>
                </c:pt>
                <c:pt idx="59">
                  <c:v>5</c:v>
                </c:pt>
                <c:pt idx="60">
                  <c:v>3.96</c:v>
                </c:pt>
                <c:pt idx="61">
                  <c:v>4</c:v>
                </c:pt>
                <c:pt idx="62">
                  <c:v>4.04</c:v>
                </c:pt>
                <c:pt idx="63">
                  <c:v>4.12</c:v>
                </c:pt>
                <c:pt idx="64">
                  <c:v>4.08</c:v>
                </c:pt>
                <c:pt idx="65">
                  <c:v>5</c:v>
                </c:pt>
                <c:pt idx="66">
                  <c:v>5</c:v>
                </c:pt>
                <c:pt idx="67">
                  <c:v>4.08</c:v>
                </c:pt>
                <c:pt idx="68">
                  <c:v>4.16</c:v>
                </c:pt>
                <c:pt idx="69">
                  <c:v>5</c:v>
                </c:pt>
                <c:pt idx="70">
                  <c:v>5</c:v>
                </c:pt>
                <c:pt idx="71">
                  <c:v>5</c:v>
                </c:pt>
                <c:pt idx="72">
                  <c:v>4</c:v>
                </c:pt>
                <c:pt idx="73">
                  <c:v>4.04</c:v>
                </c:pt>
              </c:numCache>
            </c:numRef>
          </c:xVal>
          <c:yVal>
            <c:numRef>
              <c:f>Данные!$E$2:$E$75</c:f>
              <c:numCache>
                <c:formatCode>General</c:formatCode>
                <c:ptCount val="74"/>
                <c:pt idx="0">
                  <c:v>13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16</c:v>
                </c:pt>
                <c:pt idx="5">
                  <c:v>21</c:v>
                </c:pt>
                <c:pt idx="6">
                  <c:v>18</c:v>
                </c:pt>
                <c:pt idx="7">
                  <c:v>21</c:v>
                </c:pt>
                <c:pt idx="8">
                  <c:v>17</c:v>
                </c:pt>
                <c:pt idx="9">
                  <c:v>16</c:v>
                </c:pt>
                <c:pt idx="10">
                  <c:v>22</c:v>
                </c:pt>
                <c:pt idx="11">
                  <c:v>22</c:v>
                </c:pt>
                <c:pt idx="12">
                  <c:v>18</c:v>
                </c:pt>
                <c:pt idx="13">
                  <c:v>17</c:v>
                </c:pt>
                <c:pt idx="14">
                  <c:v>18</c:v>
                </c:pt>
                <c:pt idx="15">
                  <c:v>24</c:v>
                </c:pt>
                <c:pt idx="16">
                  <c:v>16</c:v>
                </c:pt>
                <c:pt idx="17">
                  <c:v>15</c:v>
                </c:pt>
                <c:pt idx="18">
                  <c:v>18</c:v>
                </c:pt>
                <c:pt idx="19">
                  <c:v>15</c:v>
                </c:pt>
                <c:pt idx="20">
                  <c:v>15</c:v>
                </c:pt>
                <c:pt idx="21">
                  <c:v>16</c:v>
                </c:pt>
                <c:pt idx="22">
                  <c:v>21</c:v>
                </c:pt>
                <c:pt idx="23">
                  <c:v>20</c:v>
                </c:pt>
                <c:pt idx="24">
                  <c:v>14</c:v>
                </c:pt>
                <c:pt idx="25">
                  <c:v>15</c:v>
                </c:pt>
                <c:pt idx="26">
                  <c:v>14</c:v>
                </c:pt>
                <c:pt idx="27">
                  <c:v>18</c:v>
                </c:pt>
                <c:pt idx="28">
                  <c:v>18</c:v>
                </c:pt>
                <c:pt idx="29">
                  <c:v>16</c:v>
                </c:pt>
                <c:pt idx="30">
                  <c:v>14</c:v>
                </c:pt>
                <c:pt idx="31">
                  <c:v>18</c:v>
                </c:pt>
                <c:pt idx="32">
                  <c:v>20</c:v>
                </c:pt>
                <c:pt idx="33">
                  <c:v>13</c:v>
                </c:pt>
                <c:pt idx="34">
                  <c:v>12</c:v>
                </c:pt>
                <c:pt idx="35">
                  <c:v>13</c:v>
                </c:pt>
                <c:pt idx="36">
                  <c:v>16</c:v>
                </c:pt>
                <c:pt idx="37">
                  <c:v>14</c:v>
                </c:pt>
                <c:pt idx="38">
                  <c:v>24</c:v>
                </c:pt>
                <c:pt idx="39">
                  <c:v>15</c:v>
                </c:pt>
                <c:pt idx="40">
                  <c:v>18</c:v>
                </c:pt>
                <c:pt idx="41">
                  <c:v>12</c:v>
                </c:pt>
                <c:pt idx="42">
                  <c:v>18</c:v>
                </c:pt>
                <c:pt idx="43">
                  <c:v>15</c:v>
                </c:pt>
                <c:pt idx="44">
                  <c:v>17</c:v>
                </c:pt>
                <c:pt idx="45">
                  <c:v>12</c:v>
                </c:pt>
                <c:pt idx="46">
                  <c:v>16</c:v>
                </c:pt>
                <c:pt idx="47">
                  <c:v>9</c:v>
                </c:pt>
                <c:pt idx="48">
                  <c:v>16</c:v>
                </c:pt>
                <c:pt idx="49">
                  <c:v>19</c:v>
                </c:pt>
                <c:pt idx="50">
                  <c:v>16</c:v>
                </c:pt>
                <c:pt idx="51">
                  <c:v>8</c:v>
                </c:pt>
                <c:pt idx="52">
                  <c:v>17</c:v>
                </c:pt>
                <c:pt idx="53">
                  <c:v>19</c:v>
                </c:pt>
                <c:pt idx="54">
                  <c:v>19</c:v>
                </c:pt>
                <c:pt idx="55">
                  <c:v>15</c:v>
                </c:pt>
                <c:pt idx="56">
                  <c:v>16</c:v>
                </c:pt>
                <c:pt idx="57">
                  <c:v>17</c:v>
                </c:pt>
                <c:pt idx="58">
                  <c:v>24</c:v>
                </c:pt>
                <c:pt idx="59">
                  <c:v>7</c:v>
                </c:pt>
                <c:pt idx="60">
                  <c:v>10</c:v>
                </c:pt>
                <c:pt idx="61">
                  <c:v>14</c:v>
                </c:pt>
                <c:pt idx="62">
                  <c:v>12</c:v>
                </c:pt>
                <c:pt idx="63">
                  <c:v>12</c:v>
                </c:pt>
                <c:pt idx="64">
                  <c:v>15</c:v>
                </c:pt>
                <c:pt idx="65">
                  <c:v>6</c:v>
                </c:pt>
                <c:pt idx="66">
                  <c:v>16</c:v>
                </c:pt>
                <c:pt idx="67">
                  <c:v>14</c:v>
                </c:pt>
                <c:pt idx="68">
                  <c:v>15</c:v>
                </c:pt>
                <c:pt idx="69">
                  <c:v>15</c:v>
                </c:pt>
                <c:pt idx="70">
                  <c:v>13</c:v>
                </c:pt>
                <c:pt idx="71">
                  <c:v>19</c:v>
                </c:pt>
                <c:pt idx="72">
                  <c:v>13</c:v>
                </c:pt>
                <c:pt idx="73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E9D-4F89-8314-CDA0625B3E9C}"/>
            </c:ext>
          </c:extLst>
        </c:ser>
        <c:ser>
          <c:idx val="1"/>
          <c:order val="1"/>
          <c:tx>
            <c:v>Линия регрессии</c:v>
          </c:tx>
          <c:spPr>
            <a:ln w="31750">
              <a:solidFill>
                <a:srgbClr val="D83E50"/>
              </a:solidFill>
              <a:prstDash val="solid"/>
            </a:ln>
          </c:spPr>
          <c:marker>
            <c:symbol val="none"/>
          </c:marker>
          <c:xVal>
            <c:numRef>
              <c:f>Расчёты_графиков!$K$551:$K$610</c:f>
              <c:numCache>
                <c:formatCode>General</c:formatCode>
                <c:ptCount val="60"/>
                <c:pt idx="0">
                  <c:v>1</c:v>
                </c:pt>
                <c:pt idx="1">
                  <c:v>1.0677966101694916</c:v>
                </c:pt>
                <c:pt idx="2">
                  <c:v>1.1355932203389831</c:v>
                </c:pt>
                <c:pt idx="3">
                  <c:v>1.2033898305084745</c:v>
                </c:pt>
                <c:pt idx="4">
                  <c:v>1.271186440677966</c:v>
                </c:pt>
                <c:pt idx="5">
                  <c:v>1.3389830508474576</c:v>
                </c:pt>
                <c:pt idx="6">
                  <c:v>1.4067796610169492</c:v>
                </c:pt>
                <c:pt idx="7">
                  <c:v>1.4745762711864407</c:v>
                </c:pt>
                <c:pt idx="8">
                  <c:v>1.5423728813559321</c:v>
                </c:pt>
                <c:pt idx="9">
                  <c:v>1.6101694915254239</c:v>
                </c:pt>
                <c:pt idx="10">
                  <c:v>1.6779661016949152</c:v>
                </c:pt>
                <c:pt idx="11">
                  <c:v>1.7457627118644068</c:v>
                </c:pt>
                <c:pt idx="12">
                  <c:v>1.8135593220338984</c:v>
                </c:pt>
                <c:pt idx="13">
                  <c:v>1.8813559322033897</c:v>
                </c:pt>
                <c:pt idx="14">
                  <c:v>1.9491525423728815</c:v>
                </c:pt>
                <c:pt idx="15">
                  <c:v>2.0169491525423728</c:v>
                </c:pt>
                <c:pt idx="16">
                  <c:v>2.0847457627118642</c:v>
                </c:pt>
                <c:pt idx="17">
                  <c:v>2.152542372881356</c:v>
                </c:pt>
                <c:pt idx="18">
                  <c:v>2.2203389830508478</c:v>
                </c:pt>
                <c:pt idx="19">
                  <c:v>2.2881355932203391</c:v>
                </c:pt>
                <c:pt idx="20">
                  <c:v>2.3559322033898304</c:v>
                </c:pt>
                <c:pt idx="21">
                  <c:v>2.4237288135593218</c:v>
                </c:pt>
                <c:pt idx="22">
                  <c:v>2.4915254237288136</c:v>
                </c:pt>
                <c:pt idx="23">
                  <c:v>2.5593220338983054</c:v>
                </c:pt>
                <c:pt idx="24">
                  <c:v>2.6271186440677967</c:v>
                </c:pt>
                <c:pt idx="25">
                  <c:v>2.6949152542372881</c:v>
                </c:pt>
                <c:pt idx="26">
                  <c:v>2.7627118644067794</c:v>
                </c:pt>
                <c:pt idx="27">
                  <c:v>2.8305084745762712</c:v>
                </c:pt>
                <c:pt idx="28">
                  <c:v>2.898305084745763</c:v>
                </c:pt>
                <c:pt idx="29">
                  <c:v>2.9661016949152543</c:v>
                </c:pt>
                <c:pt idx="30">
                  <c:v>3.0338983050847457</c:v>
                </c:pt>
                <c:pt idx="31">
                  <c:v>3.1016949152542375</c:v>
                </c:pt>
                <c:pt idx="32">
                  <c:v>3.1694915254237288</c:v>
                </c:pt>
                <c:pt idx="33">
                  <c:v>3.2372881355932202</c:v>
                </c:pt>
                <c:pt idx="34">
                  <c:v>3.3050847457627119</c:v>
                </c:pt>
                <c:pt idx="35">
                  <c:v>3.3728813559322033</c:v>
                </c:pt>
                <c:pt idx="36">
                  <c:v>3.4406779661016951</c:v>
                </c:pt>
                <c:pt idx="37">
                  <c:v>3.5084745762711864</c:v>
                </c:pt>
                <c:pt idx="38">
                  <c:v>3.5762711864406778</c:v>
                </c:pt>
                <c:pt idx="39">
                  <c:v>3.6440677966101696</c:v>
                </c:pt>
                <c:pt idx="40">
                  <c:v>3.7118644067796609</c:v>
                </c:pt>
                <c:pt idx="41">
                  <c:v>3.7796610169491527</c:v>
                </c:pt>
                <c:pt idx="42">
                  <c:v>3.847457627118644</c:v>
                </c:pt>
                <c:pt idx="43">
                  <c:v>3.9152542372881354</c:v>
                </c:pt>
                <c:pt idx="44">
                  <c:v>3.9830508474576272</c:v>
                </c:pt>
                <c:pt idx="45">
                  <c:v>4.0508474576271185</c:v>
                </c:pt>
                <c:pt idx="46">
                  <c:v>4.1186440677966107</c:v>
                </c:pt>
                <c:pt idx="47">
                  <c:v>4.1864406779661021</c:v>
                </c:pt>
                <c:pt idx="48">
                  <c:v>4.2542372881355934</c:v>
                </c:pt>
                <c:pt idx="49">
                  <c:v>4.3220338983050848</c:v>
                </c:pt>
                <c:pt idx="50">
                  <c:v>4.3898305084745761</c:v>
                </c:pt>
                <c:pt idx="51">
                  <c:v>4.4576271186440675</c:v>
                </c:pt>
                <c:pt idx="52">
                  <c:v>4.5254237288135588</c:v>
                </c:pt>
                <c:pt idx="53">
                  <c:v>4.593220338983051</c:v>
                </c:pt>
                <c:pt idx="54">
                  <c:v>4.6610169491525424</c:v>
                </c:pt>
                <c:pt idx="55">
                  <c:v>4.7288135593220337</c:v>
                </c:pt>
                <c:pt idx="56">
                  <c:v>4.796610169491526</c:v>
                </c:pt>
                <c:pt idx="57">
                  <c:v>4.8644067796610173</c:v>
                </c:pt>
                <c:pt idx="58">
                  <c:v>4.9322033898305087</c:v>
                </c:pt>
                <c:pt idx="59">
                  <c:v>5</c:v>
                </c:pt>
              </c:numCache>
            </c:numRef>
          </c:xVal>
          <c:yVal>
            <c:numRef>
              <c:f>Расчёты_графиков!$L$551:$L$610</c:f>
              <c:numCache>
                <c:formatCode>General</c:formatCode>
                <c:ptCount val="60"/>
                <c:pt idx="0">
                  <c:v>18.481285090455394</c:v>
                </c:pt>
                <c:pt idx="1">
                  <c:v>18.3947735707413</c:v>
                </c:pt>
                <c:pt idx="2">
                  <c:v>18.308262051027203</c:v>
                </c:pt>
                <c:pt idx="3">
                  <c:v>18.221750531313109</c:v>
                </c:pt>
                <c:pt idx="4">
                  <c:v>18.135239011599012</c:v>
                </c:pt>
                <c:pt idx="5">
                  <c:v>18.048727491884918</c:v>
                </c:pt>
                <c:pt idx="6">
                  <c:v>17.962215972170824</c:v>
                </c:pt>
                <c:pt idx="7">
                  <c:v>17.875704452456727</c:v>
                </c:pt>
                <c:pt idx="8">
                  <c:v>17.789192932742633</c:v>
                </c:pt>
                <c:pt idx="9">
                  <c:v>17.702681413028536</c:v>
                </c:pt>
                <c:pt idx="10">
                  <c:v>17.616169893314442</c:v>
                </c:pt>
                <c:pt idx="11">
                  <c:v>17.529658373600345</c:v>
                </c:pt>
                <c:pt idx="12">
                  <c:v>17.443146853886251</c:v>
                </c:pt>
                <c:pt idx="13">
                  <c:v>17.356635334172154</c:v>
                </c:pt>
                <c:pt idx="14">
                  <c:v>17.27012381445806</c:v>
                </c:pt>
                <c:pt idx="15">
                  <c:v>17.183612294743966</c:v>
                </c:pt>
                <c:pt idx="16">
                  <c:v>17.097100775029869</c:v>
                </c:pt>
                <c:pt idx="17">
                  <c:v>17.010589255315775</c:v>
                </c:pt>
                <c:pt idx="18">
                  <c:v>16.924077735601678</c:v>
                </c:pt>
                <c:pt idx="19">
                  <c:v>16.837566215887584</c:v>
                </c:pt>
                <c:pt idx="20">
                  <c:v>16.751054696173487</c:v>
                </c:pt>
                <c:pt idx="21">
                  <c:v>16.664543176459393</c:v>
                </c:pt>
                <c:pt idx="22">
                  <c:v>16.578031656745296</c:v>
                </c:pt>
                <c:pt idx="23">
                  <c:v>16.491520137031202</c:v>
                </c:pt>
                <c:pt idx="24">
                  <c:v>16.405008617317105</c:v>
                </c:pt>
                <c:pt idx="25">
                  <c:v>16.318497097603011</c:v>
                </c:pt>
                <c:pt idx="26">
                  <c:v>16.231985577888917</c:v>
                </c:pt>
                <c:pt idx="27">
                  <c:v>16.14547405817482</c:v>
                </c:pt>
                <c:pt idx="28">
                  <c:v>16.058962538460726</c:v>
                </c:pt>
                <c:pt idx="29">
                  <c:v>15.972451018746629</c:v>
                </c:pt>
                <c:pt idx="30">
                  <c:v>15.885939499032535</c:v>
                </c:pt>
                <c:pt idx="31">
                  <c:v>15.799427979318438</c:v>
                </c:pt>
                <c:pt idx="32">
                  <c:v>15.712916459604344</c:v>
                </c:pt>
                <c:pt idx="33">
                  <c:v>15.626404939890248</c:v>
                </c:pt>
                <c:pt idx="34">
                  <c:v>15.539893420176153</c:v>
                </c:pt>
                <c:pt idx="35">
                  <c:v>15.453381900462057</c:v>
                </c:pt>
                <c:pt idx="36">
                  <c:v>15.366870380747962</c:v>
                </c:pt>
                <c:pt idx="37">
                  <c:v>15.280358861033866</c:v>
                </c:pt>
                <c:pt idx="38">
                  <c:v>15.193847341319771</c:v>
                </c:pt>
                <c:pt idx="39">
                  <c:v>15.107335821605675</c:v>
                </c:pt>
                <c:pt idx="40">
                  <c:v>15.020824301891579</c:v>
                </c:pt>
                <c:pt idx="41">
                  <c:v>14.934312782177486</c:v>
                </c:pt>
                <c:pt idx="42">
                  <c:v>14.847801262463388</c:v>
                </c:pt>
                <c:pt idx="43">
                  <c:v>14.761289742749295</c:v>
                </c:pt>
                <c:pt idx="44">
                  <c:v>14.674778223035197</c:v>
                </c:pt>
                <c:pt idx="45">
                  <c:v>14.588266703321104</c:v>
                </c:pt>
                <c:pt idx="46">
                  <c:v>14.501755183607006</c:v>
                </c:pt>
                <c:pt idx="47">
                  <c:v>14.415243663892912</c:v>
                </c:pt>
                <c:pt idx="48">
                  <c:v>14.328732144178817</c:v>
                </c:pt>
                <c:pt idx="49">
                  <c:v>14.242220624464721</c:v>
                </c:pt>
                <c:pt idx="50">
                  <c:v>14.155709104750628</c:v>
                </c:pt>
                <c:pt idx="51">
                  <c:v>14.06919758503653</c:v>
                </c:pt>
                <c:pt idx="52">
                  <c:v>13.982686065322437</c:v>
                </c:pt>
                <c:pt idx="53">
                  <c:v>13.896174545608339</c:v>
                </c:pt>
                <c:pt idx="54">
                  <c:v>13.809663025894245</c:v>
                </c:pt>
                <c:pt idx="55">
                  <c:v>13.72315150618015</c:v>
                </c:pt>
                <c:pt idx="56">
                  <c:v>13.636639986466054</c:v>
                </c:pt>
                <c:pt idx="57">
                  <c:v>13.550128466751957</c:v>
                </c:pt>
                <c:pt idx="58">
                  <c:v>13.463616947037863</c:v>
                </c:pt>
                <c:pt idx="59">
                  <c:v>13.377105427323768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E9D-4F89-8314-CDA0625B3E9C}"/>
            </c:ext>
          </c:extLst>
        </c:ser>
        <c:ser>
          <c:idx val="2"/>
          <c:order val="2"/>
          <c:tx>
            <c:v>95% доверительный интервал</c:v>
          </c:tx>
          <c:spPr>
            <a:ln w="19050">
              <a:solidFill>
                <a:srgbClr val="89939C"/>
              </a:solidFill>
              <a:prstDash val="dash"/>
            </a:ln>
          </c:spPr>
          <c:marker>
            <c:symbol val="none"/>
          </c:marker>
          <c:xVal>
            <c:numRef>
              <c:f>Расчёты_графиков!$S$551:$S$671</c:f>
              <c:numCache>
                <c:formatCode>General</c:formatCode>
                <c:ptCount val="121"/>
                <c:pt idx="0">
                  <c:v>1</c:v>
                </c:pt>
                <c:pt idx="1">
                  <c:v>1.0677966101694916</c:v>
                </c:pt>
                <c:pt idx="2">
                  <c:v>1.1355932203389831</c:v>
                </c:pt>
                <c:pt idx="3">
                  <c:v>1.2033898305084745</c:v>
                </c:pt>
                <c:pt idx="4">
                  <c:v>1.271186440677966</c:v>
                </c:pt>
                <c:pt idx="5">
                  <c:v>1.3389830508474576</c:v>
                </c:pt>
                <c:pt idx="6">
                  <c:v>1.4067796610169492</c:v>
                </c:pt>
                <c:pt idx="7">
                  <c:v>1.4745762711864407</c:v>
                </c:pt>
                <c:pt idx="8">
                  <c:v>1.5423728813559321</c:v>
                </c:pt>
                <c:pt idx="9">
                  <c:v>1.6101694915254239</c:v>
                </c:pt>
                <c:pt idx="10">
                  <c:v>1.6779661016949152</c:v>
                </c:pt>
                <c:pt idx="11">
                  <c:v>1.7457627118644068</c:v>
                </c:pt>
                <c:pt idx="12">
                  <c:v>1.8135593220338984</c:v>
                </c:pt>
                <c:pt idx="13">
                  <c:v>1.8813559322033897</c:v>
                </c:pt>
                <c:pt idx="14">
                  <c:v>1.9491525423728815</c:v>
                </c:pt>
                <c:pt idx="15">
                  <c:v>2.0169491525423728</c:v>
                </c:pt>
                <c:pt idx="16">
                  <c:v>2.0847457627118642</c:v>
                </c:pt>
                <c:pt idx="17">
                  <c:v>2.152542372881356</c:v>
                </c:pt>
                <c:pt idx="18">
                  <c:v>2.2203389830508478</c:v>
                </c:pt>
                <c:pt idx="19">
                  <c:v>2.2881355932203391</c:v>
                </c:pt>
                <c:pt idx="20">
                  <c:v>2.3559322033898304</c:v>
                </c:pt>
                <c:pt idx="21">
                  <c:v>2.4237288135593218</c:v>
                </c:pt>
                <c:pt idx="22">
                  <c:v>2.4915254237288136</c:v>
                </c:pt>
                <c:pt idx="23">
                  <c:v>2.5593220338983054</c:v>
                </c:pt>
                <c:pt idx="24">
                  <c:v>2.6271186440677967</c:v>
                </c:pt>
                <c:pt idx="25">
                  <c:v>2.6949152542372881</c:v>
                </c:pt>
                <c:pt idx="26">
                  <c:v>2.7627118644067794</c:v>
                </c:pt>
                <c:pt idx="27">
                  <c:v>2.8305084745762712</c:v>
                </c:pt>
                <c:pt idx="28">
                  <c:v>2.898305084745763</c:v>
                </c:pt>
                <c:pt idx="29">
                  <c:v>2.9661016949152543</c:v>
                </c:pt>
                <c:pt idx="30">
                  <c:v>3.0338983050847457</c:v>
                </c:pt>
                <c:pt idx="31">
                  <c:v>3.1016949152542375</c:v>
                </c:pt>
                <c:pt idx="32">
                  <c:v>3.1694915254237288</c:v>
                </c:pt>
                <c:pt idx="33">
                  <c:v>3.2372881355932202</c:v>
                </c:pt>
                <c:pt idx="34">
                  <c:v>3.3050847457627119</c:v>
                </c:pt>
                <c:pt idx="35">
                  <c:v>3.3728813559322033</c:v>
                </c:pt>
                <c:pt idx="36">
                  <c:v>3.4406779661016951</c:v>
                </c:pt>
                <c:pt idx="37">
                  <c:v>3.5084745762711864</c:v>
                </c:pt>
                <c:pt idx="38">
                  <c:v>3.5762711864406778</c:v>
                </c:pt>
                <c:pt idx="39">
                  <c:v>3.6440677966101696</c:v>
                </c:pt>
                <c:pt idx="40">
                  <c:v>3.7118644067796609</c:v>
                </c:pt>
                <c:pt idx="41">
                  <c:v>3.7796610169491527</c:v>
                </c:pt>
                <c:pt idx="42">
                  <c:v>3.847457627118644</c:v>
                </c:pt>
                <c:pt idx="43">
                  <c:v>3.9152542372881354</c:v>
                </c:pt>
                <c:pt idx="44">
                  <c:v>3.9830508474576272</c:v>
                </c:pt>
                <c:pt idx="45">
                  <c:v>4.0508474576271185</c:v>
                </c:pt>
                <c:pt idx="46">
                  <c:v>4.1186440677966107</c:v>
                </c:pt>
                <c:pt idx="47">
                  <c:v>4.1864406779661021</c:v>
                </c:pt>
                <c:pt idx="48">
                  <c:v>4.2542372881355934</c:v>
                </c:pt>
                <c:pt idx="49">
                  <c:v>4.3220338983050848</c:v>
                </c:pt>
                <c:pt idx="50">
                  <c:v>4.3898305084745761</c:v>
                </c:pt>
                <c:pt idx="51">
                  <c:v>4.4576271186440675</c:v>
                </c:pt>
                <c:pt idx="52">
                  <c:v>4.5254237288135588</c:v>
                </c:pt>
                <c:pt idx="53">
                  <c:v>4.593220338983051</c:v>
                </c:pt>
                <c:pt idx="54">
                  <c:v>4.6610169491525424</c:v>
                </c:pt>
                <c:pt idx="55">
                  <c:v>4.7288135593220337</c:v>
                </c:pt>
                <c:pt idx="56">
                  <c:v>4.796610169491526</c:v>
                </c:pt>
                <c:pt idx="57">
                  <c:v>4.8644067796610173</c:v>
                </c:pt>
                <c:pt idx="58">
                  <c:v>4.9322033898305087</c:v>
                </c:pt>
                <c:pt idx="59">
                  <c:v>5</c:v>
                </c:pt>
                <c:pt idx="61">
                  <c:v>1</c:v>
                </c:pt>
                <c:pt idx="62">
                  <c:v>1.0677966101694916</c:v>
                </c:pt>
                <c:pt idx="63">
                  <c:v>1.1355932203389831</c:v>
                </c:pt>
                <c:pt idx="64">
                  <c:v>1.2033898305084745</c:v>
                </c:pt>
                <c:pt idx="65">
                  <c:v>1.271186440677966</c:v>
                </c:pt>
                <c:pt idx="66">
                  <c:v>1.3389830508474576</c:v>
                </c:pt>
                <c:pt idx="67">
                  <c:v>1.4067796610169492</c:v>
                </c:pt>
                <c:pt idx="68">
                  <c:v>1.4745762711864407</c:v>
                </c:pt>
                <c:pt idx="69">
                  <c:v>1.5423728813559321</c:v>
                </c:pt>
                <c:pt idx="70">
                  <c:v>1.6101694915254239</c:v>
                </c:pt>
                <c:pt idx="71">
                  <c:v>1.6779661016949152</c:v>
                </c:pt>
                <c:pt idx="72">
                  <c:v>1.7457627118644068</c:v>
                </c:pt>
                <c:pt idx="73">
                  <c:v>1.8135593220338984</c:v>
                </c:pt>
                <c:pt idx="74">
                  <c:v>1.8813559322033897</c:v>
                </c:pt>
                <c:pt idx="75">
                  <c:v>1.9491525423728815</c:v>
                </c:pt>
                <c:pt idx="76">
                  <c:v>2.0169491525423728</c:v>
                </c:pt>
                <c:pt idx="77">
                  <c:v>2.0847457627118642</c:v>
                </c:pt>
                <c:pt idx="78">
                  <c:v>2.152542372881356</c:v>
                </c:pt>
                <c:pt idx="79">
                  <c:v>2.2203389830508478</c:v>
                </c:pt>
                <c:pt idx="80">
                  <c:v>2.2881355932203391</c:v>
                </c:pt>
                <c:pt idx="81">
                  <c:v>2.3559322033898304</c:v>
                </c:pt>
                <c:pt idx="82">
                  <c:v>2.4237288135593218</c:v>
                </c:pt>
                <c:pt idx="83">
                  <c:v>2.4915254237288136</c:v>
                </c:pt>
                <c:pt idx="84">
                  <c:v>2.5593220338983054</c:v>
                </c:pt>
                <c:pt idx="85">
                  <c:v>2.6271186440677967</c:v>
                </c:pt>
                <c:pt idx="86">
                  <c:v>2.6949152542372881</c:v>
                </c:pt>
                <c:pt idx="87">
                  <c:v>2.7627118644067794</c:v>
                </c:pt>
                <c:pt idx="88">
                  <c:v>2.8305084745762712</c:v>
                </c:pt>
                <c:pt idx="89">
                  <c:v>2.898305084745763</c:v>
                </c:pt>
                <c:pt idx="90">
                  <c:v>2.9661016949152543</c:v>
                </c:pt>
                <c:pt idx="91">
                  <c:v>3.0338983050847457</c:v>
                </c:pt>
                <c:pt idx="92">
                  <c:v>3.1016949152542375</c:v>
                </c:pt>
                <c:pt idx="93">
                  <c:v>3.1694915254237288</c:v>
                </c:pt>
                <c:pt idx="94">
                  <c:v>3.2372881355932202</c:v>
                </c:pt>
                <c:pt idx="95">
                  <c:v>3.3050847457627119</c:v>
                </c:pt>
                <c:pt idx="96">
                  <c:v>3.3728813559322033</c:v>
                </c:pt>
                <c:pt idx="97">
                  <c:v>3.4406779661016951</c:v>
                </c:pt>
                <c:pt idx="98">
                  <c:v>3.5084745762711864</c:v>
                </c:pt>
                <c:pt idx="99">
                  <c:v>3.5762711864406778</c:v>
                </c:pt>
                <c:pt idx="100">
                  <c:v>3.6440677966101696</c:v>
                </c:pt>
                <c:pt idx="101">
                  <c:v>3.7118644067796609</c:v>
                </c:pt>
                <c:pt idx="102">
                  <c:v>3.7796610169491527</c:v>
                </c:pt>
                <c:pt idx="103">
                  <c:v>3.847457627118644</c:v>
                </c:pt>
                <c:pt idx="104">
                  <c:v>3.9152542372881354</c:v>
                </c:pt>
                <c:pt idx="105">
                  <c:v>3.9830508474576272</c:v>
                </c:pt>
                <c:pt idx="106">
                  <c:v>4.0508474576271185</c:v>
                </c:pt>
                <c:pt idx="107">
                  <c:v>4.1186440677966107</c:v>
                </c:pt>
                <c:pt idx="108">
                  <c:v>4.1864406779661021</c:v>
                </c:pt>
                <c:pt idx="109">
                  <c:v>4.2542372881355934</c:v>
                </c:pt>
                <c:pt idx="110">
                  <c:v>4.3220338983050848</c:v>
                </c:pt>
                <c:pt idx="111">
                  <c:v>4.3898305084745761</c:v>
                </c:pt>
                <c:pt idx="112">
                  <c:v>4.4576271186440675</c:v>
                </c:pt>
                <c:pt idx="113">
                  <c:v>4.5254237288135588</c:v>
                </c:pt>
                <c:pt idx="114">
                  <c:v>4.593220338983051</c:v>
                </c:pt>
                <c:pt idx="115">
                  <c:v>4.6610169491525424</c:v>
                </c:pt>
                <c:pt idx="116">
                  <c:v>4.7288135593220337</c:v>
                </c:pt>
                <c:pt idx="117">
                  <c:v>4.796610169491526</c:v>
                </c:pt>
                <c:pt idx="118">
                  <c:v>4.8644067796610173</c:v>
                </c:pt>
                <c:pt idx="119">
                  <c:v>4.9322033898305087</c:v>
                </c:pt>
                <c:pt idx="120">
                  <c:v>5</c:v>
                </c:pt>
              </c:numCache>
            </c:numRef>
          </c:xVal>
          <c:yVal>
            <c:numRef>
              <c:f>Расчёты_графиков!$T$551:$T$671</c:f>
              <c:numCache>
                <c:formatCode>General</c:formatCode>
                <c:ptCount val="121"/>
                <c:pt idx="0">
                  <c:v>16.713212328480999</c:v>
                </c:pt>
                <c:pt idx="1">
                  <c:v>16.671220424066799</c:v>
                </c:pt>
                <c:pt idx="2">
                  <c:v>16.628915427376484</c:v>
                </c:pt>
                <c:pt idx="3">
                  <c:v>16.586271949826259</c:v>
                </c:pt>
                <c:pt idx="4">
                  <c:v>16.543262009938157</c:v>
                </c:pt>
                <c:pt idx="5">
                  <c:v>16.499854730063724</c:v>
                </c:pt>
                <c:pt idx="6">
                  <c:v>16.456015996740664</c:v>
                </c:pt>
                <c:pt idx="7">
                  <c:v>16.411708081272806</c:v>
                </c:pt>
                <c:pt idx="8">
                  <c:v>16.36688921733117</c:v>
                </c:pt>
                <c:pt idx="9">
                  <c:v>16.321513132880717</c:v>
                </c:pt>
                <c:pt idx="10">
                  <c:v>16.275528534680674</c:v>
                </c:pt>
                <c:pt idx="11">
                  <c:v>16.228878545169731</c:v>
                </c:pt>
                <c:pt idx="12">
                  <c:v>16.181500093971163</c:v>
                </c:pt>
                <c:pt idx="13">
                  <c:v>16.133323269841803</c:v>
                </c:pt>
                <c:pt idx="14">
                  <c:v>16.084270644015866</c:v>
                </c:pt>
                <c:pt idx="15">
                  <c:v>16.034256582991031</c:v>
                </c:pt>
                <c:pt idx="16">
                  <c:v>15.983186578329748</c:v>
                </c:pt>
                <c:pt idx="17">
                  <c:v>15.930956633420381</c:v>
                </c:pt>
                <c:pt idx="18">
                  <c:v>15.877452762609416</c:v>
                </c:pt>
                <c:pt idx="19">
                  <c:v>15.822550676547888</c:v>
                </c:pt>
                <c:pt idx="20">
                  <c:v>15.766115748171764</c:v>
                </c:pt>
                <c:pt idx="21">
                  <c:v>15.708003374537853</c:v>
                </c:pt>
                <c:pt idx="22">
                  <c:v>15.648059867275778</c:v>
                </c:pt>
                <c:pt idx="23">
                  <c:v>15.586124013261143</c:v>
                </c:pt>
                <c:pt idx="24">
                  <c:v>15.52202943984674</c:v>
                </c:pt>
                <c:pt idx="25">
                  <c:v>15.455607886907739</c:v>
                </c:pt>
                <c:pt idx="26">
                  <c:v>15.386693422949541</c:v>
                </c:pt>
                <c:pt idx="27">
                  <c:v>15.315127540358628</c:v>
                </c:pt>
                <c:pt idx="28">
                  <c:v>15.240764929519845</c:v>
                </c:pt>
                <c:pt idx="29">
                  <c:v>15.163479579149808</c:v>
                </c:pt>
                <c:pt idx="30">
                  <c:v>15.083170710358107</c:v>
                </c:pt>
                <c:pt idx="31">
                  <c:v>14.999767963289163</c:v>
                </c:pt>
                <c:pt idx="32">
                  <c:v>14.913235254634671</c:v>
                </c:pt>
                <c:pt idx="33">
                  <c:v>14.823572832219389</c:v>
                </c:pt>
                <c:pt idx="34">
                  <c:v>14.730817260712536</c:v>
                </c:pt>
                <c:pt idx="35">
                  <c:v>14.63503934034604</c:v>
                </c:pt>
                <c:pt idx="36">
                  <c:v>14.536340227916799</c:v>
                </c:pt>
                <c:pt idx="37">
                  <c:v>14.434846236050685</c:v>
                </c:pt>
                <c:pt idx="38">
                  <c:v>14.330702893136374</c:v>
                </c:pt>
                <c:pt idx="39">
                  <c:v>14.224068844393592</c:v>
                </c:pt>
                <c:pt idx="40">
                  <c:v>14.11511008492433</c:v>
                </c:pt>
                <c:pt idx="41">
                  <c:v>14.003994875341602</c:v>
                </c:pt>
                <c:pt idx="42">
                  <c:v>13.890889538257817</c:v>
                </c:pt>
                <c:pt idx="43">
                  <c:v>13.775955198929614</c:v>
                </c:pt>
                <c:pt idx="44">
                  <c:v>13.659345431686468</c:v>
                </c:pt>
                <c:pt idx="45">
                  <c:v>13.541204709250129</c:v>
                </c:pt>
                <c:pt idx="46">
                  <c:v>13.421667520364259</c:v>
                </c:pt>
                <c:pt idx="47">
                  <c:v>13.300858014160227</c:v>
                </c:pt>
                <c:pt idx="48">
                  <c:v>13.178890038691813</c:v>
                </c:pt>
                <c:pt idx="49">
                  <c:v>13.05586745868688</c:v>
                </c:pt>
                <c:pt idx="50">
                  <c:v>12.931884658381335</c:v>
                </c:pt>
                <c:pt idx="51">
                  <c:v>12.807027155858767</c:v>
                </c:pt>
                <c:pt idx="52">
                  <c:v>12.681372273714075</c:v>
                </c:pt>
                <c:pt idx="53">
                  <c:v>12.554989826283979</c:v>
                </c:pt>
                <c:pt idx="54">
                  <c:v>12.427942796018504</c:v>
                </c:pt>
                <c:pt idx="55">
                  <c:v>12.300287981056867</c:v>
                </c:pt>
                <c:pt idx="56">
                  <c:v>12.172076603138342</c:v>
                </c:pt>
                <c:pt idx="57">
                  <c:v>12.043354870081888</c:v>
                </c:pt>
                <c:pt idx="58">
                  <c:v>11.914164490639322</c:v>
                </c:pt>
                <c:pt idx="59">
                  <c:v>11.784543141936926</c:v>
                </c:pt>
                <c:pt idx="61">
                  <c:v>20.249357852429789</c:v>
                </c:pt>
                <c:pt idx="62">
                  <c:v>20.118326717415801</c:v>
                </c:pt>
                <c:pt idx="63">
                  <c:v>19.987608674677922</c:v>
                </c:pt>
                <c:pt idx="64">
                  <c:v>19.85722911279996</c:v>
                </c:pt>
                <c:pt idx="65">
                  <c:v>19.727216013259866</c:v>
                </c:pt>
                <c:pt idx="66">
                  <c:v>19.597600253706112</c:v>
                </c:pt>
                <c:pt idx="67">
                  <c:v>19.468415947600985</c:v>
                </c:pt>
                <c:pt idx="68">
                  <c:v>19.339700823640648</c:v>
                </c:pt>
                <c:pt idx="69">
                  <c:v>19.211496648154096</c:v>
                </c:pt>
                <c:pt idx="70">
                  <c:v>19.083849693176354</c:v>
                </c:pt>
                <c:pt idx="71">
                  <c:v>18.95681125194821</c:v>
                </c:pt>
                <c:pt idx="72">
                  <c:v>18.830438202030958</c:v>
                </c:pt>
                <c:pt idx="73">
                  <c:v>18.704793613801339</c:v>
                </c:pt>
                <c:pt idx="74">
                  <c:v>18.579947398502505</c:v>
                </c:pt>
                <c:pt idx="75">
                  <c:v>18.455976984900254</c:v>
                </c:pt>
                <c:pt idx="76">
                  <c:v>18.332968006496902</c:v>
                </c:pt>
                <c:pt idx="77">
                  <c:v>18.211014971729988</c:v>
                </c:pt>
                <c:pt idx="78">
                  <c:v>18.090221877211171</c:v>
                </c:pt>
                <c:pt idx="79">
                  <c:v>17.97070270859394</c:v>
                </c:pt>
                <c:pt idx="80">
                  <c:v>17.852581755227281</c:v>
                </c:pt>
                <c:pt idx="81">
                  <c:v>17.73599364417521</c:v>
                </c:pt>
                <c:pt idx="82">
                  <c:v>17.621082978380933</c:v>
                </c:pt>
                <c:pt idx="83">
                  <c:v>17.508003446214811</c:v>
                </c:pt>
                <c:pt idx="84">
                  <c:v>17.396916260801262</c:v>
                </c:pt>
                <c:pt idx="85">
                  <c:v>17.287987794787469</c:v>
                </c:pt>
                <c:pt idx="86">
                  <c:v>17.181386308298283</c:v>
                </c:pt>
                <c:pt idx="87">
                  <c:v>17.077277732828293</c:v>
                </c:pt>
                <c:pt idx="88">
                  <c:v>16.975820575991012</c:v>
                </c:pt>
                <c:pt idx="89">
                  <c:v>16.877160147401607</c:v>
                </c:pt>
                <c:pt idx="90">
                  <c:v>16.781422458343449</c:v>
                </c:pt>
                <c:pt idx="91">
                  <c:v>16.688708287706962</c:v>
                </c:pt>
                <c:pt idx="92">
                  <c:v>16.599087995347713</c:v>
                </c:pt>
                <c:pt idx="93">
                  <c:v>16.512597664574017</c:v>
                </c:pt>
                <c:pt idx="94">
                  <c:v>16.429237047561106</c:v>
                </c:pt>
                <c:pt idx="95">
                  <c:v>16.348969579639771</c:v>
                </c:pt>
                <c:pt idx="96">
                  <c:v>16.271724460578074</c:v>
                </c:pt>
                <c:pt idx="97">
                  <c:v>16.197400533579124</c:v>
                </c:pt>
                <c:pt idx="98">
                  <c:v>16.125871486017047</c:v>
                </c:pt>
                <c:pt idx="99">
                  <c:v>16.056991789503169</c:v>
                </c:pt>
                <c:pt idx="100">
                  <c:v>15.990602798817758</c:v>
                </c:pt>
                <c:pt idx="101">
                  <c:v>15.926538518858829</c:v>
                </c:pt>
                <c:pt idx="102">
                  <c:v>15.864630689013369</c:v>
                </c:pt>
                <c:pt idx="103">
                  <c:v>15.80471298666896</c:v>
                </c:pt>
                <c:pt idx="104">
                  <c:v>15.746624286568975</c:v>
                </c:pt>
                <c:pt idx="105">
                  <c:v>15.690211014383927</c:v>
                </c:pt>
                <c:pt idx="106">
                  <c:v>15.635328697392078</c:v>
                </c:pt>
                <c:pt idx="107">
                  <c:v>15.581842846849753</c:v>
                </c:pt>
                <c:pt idx="108">
                  <c:v>15.529629313625598</c:v>
                </c:pt>
                <c:pt idx="109">
                  <c:v>15.478574249665821</c:v>
                </c:pt>
                <c:pt idx="110">
                  <c:v>15.428573790242563</c:v>
                </c:pt>
                <c:pt idx="111">
                  <c:v>15.37953355111992</c:v>
                </c:pt>
                <c:pt idx="112">
                  <c:v>15.331368014214293</c:v>
                </c:pt>
                <c:pt idx="113">
                  <c:v>15.283999856930798</c:v>
                </c:pt>
                <c:pt idx="114">
                  <c:v>15.237359264932699</c:v>
                </c:pt>
                <c:pt idx="115">
                  <c:v>15.191383255769987</c:v>
                </c:pt>
                <c:pt idx="116">
                  <c:v>15.146015031303433</c:v>
                </c:pt>
                <c:pt idx="117">
                  <c:v>15.101203369793767</c:v>
                </c:pt>
                <c:pt idx="118">
                  <c:v>15.056902063422026</c:v>
                </c:pt>
                <c:pt idx="119">
                  <c:v>15.013069403436404</c:v>
                </c:pt>
                <c:pt idx="120">
                  <c:v>14.96966771271061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E9D-4F89-8314-CDA0625B3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ax val="6"/>
          <c:min val="0"/>
        </c:scaling>
        <c:delete val="0"/>
        <c:axPos val="b"/>
        <c:title>
          <c:tx>
            <c:strRef>
              <c:f>Регрессия_графики!$D$72</c:f>
              <c:strCache>
                <c:ptCount val="1"/>
                <c:pt idx="0">
                  <c:v>Л1</c:v>
                </c:pt>
              </c:strCache>
            </c:strRef>
          </c:tx>
          <c:overlay val="0"/>
          <c:txPr>
            <a:bodyPr/>
            <a:lstStyle/>
            <a:p>
              <a:pPr>
                <a:defRPr sz="1100" b="1">
                  <a:solidFill>
                    <a:srgbClr val="263746"/>
                  </a:solidFill>
                  <a:latin typeface="Arial"/>
                </a:defRPr>
              </a:pPr>
              <a:endParaRPr lang="ru-RU"/>
            </a:p>
          </c:txPr>
        </c:title>
        <c:numFmt formatCode="[&lt;1]&quot;&quot;;[&gt;5]&quot;&quot;;0" sourceLinked="0"/>
        <c:majorTickMark val="out"/>
        <c:minorTickMark val="none"/>
        <c:tickLblPos val="low"/>
        <c:spPr>
          <a:ln w="9525">
            <a:solidFill>
              <a:srgbClr val="263746"/>
            </a:solidFill>
            <a:prstDash val="solid"/>
          </a:ln>
        </c:spPr>
        <c:txPr>
          <a:bodyPr/>
          <a:lstStyle/>
          <a:p>
            <a:pPr>
              <a:defRPr sz="1000" b="0">
                <a:solidFill>
                  <a:srgbClr val="263746"/>
                </a:solidFill>
                <a:latin typeface="Arial"/>
              </a:defRPr>
            </a:pPr>
            <a:endParaRPr lang="ru-RU"/>
          </a:p>
        </c:txPr>
        <c:crossAx val="20"/>
        <c:crosses val="autoZero"/>
        <c:crossBetween val="midCat"/>
        <c:majorUnit val="1"/>
      </c:valAx>
      <c:valAx>
        <c:axId val="20"/>
        <c:scaling>
          <c:orientation val="minMax"/>
          <c:max val="30"/>
          <c:min val="0"/>
        </c:scaling>
        <c:delete val="0"/>
        <c:axPos val="l"/>
        <c:majorGridlines>
          <c:spPr>
            <a:ln w="6350">
              <a:solidFill>
                <a:srgbClr val="E4E9EC"/>
              </a:solidFill>
              <a:prstDash val="solid"/>
            </a:ln>
          </c:spPr>
        </c:majorGridlines>
        <c:title>
          <c:tx>
            <c:strRef>
              <c:f>Регрессия_графики!$J$72</c:f>
              <c:strCache>
                <c:ptCount val="1"/>
                <c:pt idx="0">
                  <c:v>К3</c:v>
                </c:pt>
              </c:strCache>
            </c:strRef>
          </c:tx>
          <c:overlay val="0"/>
          <c:txPr>
            <a:bodyPr/>
            <a:lstStyle/>
            <a:p>
              <a:pPr>
                <a:defRPr sz="1100" b="1">
                  <a:solidFill>
                    <a:srgbClr val="263746"/>
                  </a:solidFill>
                  <a:latin typeface="Arial"/>
                </a:defRPr>
              </a:pPr>
              <a:endParaRPr lang="ru-RU"/>
            </a:p>
          </c:txPr>
        </c:title>
        <c:numFmt formatCode="0" sourceLinked="0"/>
        <c:majorTickMark val="out"/>
        <c:minorTickMark val="none"/>
        <c:tickLblPos val="low"/>
        <c:spPr>
          <a:ln w="9525">
            <a:solidFill>
              <a:srgbClr val="263746"/>
            </a:solidFill>
            <a:prstDash val="solid"/>
          </a:ln>
        </c:spPr>
        <c:txPr>
          <a:bodyPr/>
          <a:lstStyle/>
          <a:p>
            <a:pPr>
              <a:defRPr sz="1000" b="0">
                <a:solidFill>
                  <a:srgbClr val="263746"/>
                </a:solidFill>
                <a:latin typeface="Arial"/>
              </a:defRPr>
            </a:pPr>
            <a:endParaRPr lang="ru-RU"/>
          </a:p>
        </c:txPr>
        <c:crossAx val="10"/>
        <c:crosses val="autoZero"/>
        <c:crossBetween val="midCat"/>
        <c:majorUnit val="5"/>
      </c:valAx>
      <c:spPr>
        <a:solidFill>
          <a:srgbClr val="FFFFFF"/>
        </a:solidFill>
        <a:ln>
          <a:prstDash val="solid"/>
        </a:ln>
      </c:spPr>
    </c:plotArea>
    <c:legend>
      <c:legendPos val="b"/>
      <c:overlay val="0"/>
      <c:txPr>
        <a:bodyPr/>
        <a:lstStyle/>
        <a:p>
          <a:pPr>
            <a:defRPr sz="950" b="0">
              <a:solidFill>
                <a:srgbClr val="263746"/>
              </a:solidFill>
              <a:latin typeface="Arial"/>
            </a:defRPr>
          </a:pPr>
          <a:endParaRPr lang="ru-RU"/>
        </a:p>
      </c:txPr>
    </c:legend>
    <c:plotVisOnly val="1"/>
    <c:dispBlanksAs val="gap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strRef>
          <c:f>Расчёты_графиков!$B$796</c:f>
          <c:strCache>
            <c:ptCount val="1"/>
            <c:pt idx="0">
              <c:v>Линейная регрессия ТК1 по Л1
ŷ = 6,678 − 0,346x; R² = 0,047; p = 0,0633; n = 74</c:v>
            </c:pt>
          </c:strCache>
        </c:strRef>
      </c:tx>
      <c:overlay val="0"/>
      <c:txPr>
        <a:bodyPr/>
        <a:lstStyle/>
        <a:p>
          <a:pPr>
            <a:defRPr sz="1200" b="0">
              <a:solidFill>
                <a:srgbClr val="263746"/>
              </a:solidFill>
              <a:latin typeface="Arial"/>
            </a:defRPr>
          </a:pPr>
          <a:endParaRPr lang="ru-RU"/>
        </a:p>
      </c:txPr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Наблюдения</c:v>
          </c:tx>
          <c:spPr>
            <a:ln>
              <a:noFill/>
              <a:prstDash val="solid"/>
            </a:ln>
          </c:spPr>
          <c:marker>
            <c:symbol val="circle"/>
            <c:size val="6"/>
            <c:spPr>
              <a:solidFill>
                <a:srgbClr val="83969E"/>
              </a:solidFill>
              <a:ln>
                <a:noFill/>
                <a:prstDash val="solid"/>
              </a:ln>
            </c:spPr>
          </c:marker>
          <c:xVal>
            <c:numRef>
              <c:f>Расчёты_графиков!$S$702:$S$775</c:f>
              <c:numCache>
                <c:formatCode>General</c:formatCode>
                <c:ptCount val="74"/>
                <c:pt idx="0">
                  <c:v>0.92</c:v>
                </c:pt>
                <c:pt idx="1">
                  <c:v>1.96</c:v>
                </c:pt>
                <c:pt idx="2">
                  <c:v>1.96</c:v>
                </c:pt>
                <c:pt idx="3">
                  <c:v>1.92</c:v>
                </c:pt>
                <c:pt idx="4">
                  <c:v>1</c:v>
                </c:pt>
                <c:pt idx="5">
                  <c:v>0.96</c:v>
                </c:pt>
                <c:pt idx="6">
                  <c:v>1</c:v>
                </c:pt>
                <c:pt idx="7">
                  <c:v>2.04</c:v>
                </c:pt>
                <c:pt idx="8">
                  <c:v>2</c:v>
                </c:pt>
                <c:pt idx="9">
                  <c:v>1</c:v>
                </c:pt>
                <c:pt idx="10">
                  <c:v>1.92</c:v>
                </c:pt>
                <c:pt idx="11">
                  <c:v>1.08</c:v>
                </c:pt>
                <c:pt idx="12">
                  <c:v>1.04</c:v>
                </c:pt>
                <c:pt idx="13">
                  <c:v>2.04</c:v>
                </c:pt>
                <c:pt idx="14">
                  <c:v>2</c:v>
                </c:pt>
                <c:pt idx="15">
                  <c:v>1.96</c:v>
                </c:pt>
                <c:pt idx="16">
                  <c:v>2.08</c:v>
                </c:pt>
                <c:pt idx="17">
                  <c:v>2.08</c:v>
                </c:pt>
                <c:pt idx="18">
                  <c:v>2.04</c:v>
                </c:pt>
                <c:pt idx="19">
                  <c:v>3.68</c:v>
                </c:pt>
                <c:pt idx="20">
                  <c:v>2.8</c:v>
                </c:pt>
                <c:pt idx="21">
                  <c:v>2.8</c:v>
                </c:pt>
                <c:pt idx="22">
                  <c:v>2.88</c:v>
                </c:pt>
                <c:pt idx="23">
                  <c:v>2.88</c:v>
                </c:pt>
                <c:pt idx="24">
                  <c:v>2.96</c:v>
                </c:pt>
                <c:pt idx="25">
                  <c:v>2.96</c:v>
                </c:pt>
                <c:pt idx="26">
                  <c:v>2.88</c:v>
                </c:pt>
                <c:pt idx="27">
                  <c:v>2.92</c:v>
                </c:pt>
                <c:pt idx="28">
                  <c:v>3</c:v>
                </c:pt>
                <c:pt idx="29">
                  <c:v>3.8</c:v>
                </c:pt>
                <c:pt idx="30">
                  <c:v>3</c:v>
                </c:pt>
                <c:pt idx="31">
                  <c:v>2.96</c:v>
                </c:pt>
                <c:pt idx="32">
                  <c:v>3.04</c:v>
                </c:pt>
                <c:pt idx="33">
                  <c:v>2.96</c:v>
                </c:pt>
                <c:pt idx="34">
                  <c:v>4</c:v>
                </c:pt>
                <c:pt idx="35">
                  <c:v>3.04</c:v>
                </c:pt>
                <c:pt idx="36">
                  <c:v>3</c:v>
                </c:pt>
                <c:pt idx="37">
                  <c:v>4</c:v>
                </c:pt>
                <c:pt idx="38">
                  <c:v>2.96</c:v>
                </c:pt>
                <c:pt idx="39">
                  <c:v>3.88</c:v>
                </c:pt>
                <c:pt idx="40">
                  <c:v>3.04</c:v>
                </c:pt>
                <c:pt idx="41">
                  <c:v>3.96</c:v>
                </c:pt>
                <c:pt idx="42">
                  <c:v>3.04</c:v>
                </c:pt>
                <c:pt idx="43">
                  <c:v>3.12</c:v>
                </c:pt>
                <c:pt idx="44">
                  <c:v>3.96</c:v>
                </c:pt>
                <c:pt idx="45">
                  <c:v>3.12</c:v>
                </c:pt>
                <c:pt idx="46">
                  <c:v>3.96</c:v>
                </c:pt>
                <c:pt idx="47">
                  <c:v>3.2</c:v>
                </c:pt>
                <c:pt idx="48">
                  <c:v>3.04</c:v>
                </c:pt>
                <c:pt idx="49">
                  <c:v>3.08</c:v>
                </c:pt>
                <c:pt idx="50">
                  <c:v>3.12</c:v>
                </c:pt>
                <c:pt idx="51">
                  <c:v>4.04</c:v>
                </c:pt>
                <c:pt idx="52">
                  <c:v>3.2</c:v>
                </c:pt>
                <c:pt idx="53">
                  <c:v>3.76</c:v>
                </c:pt>
                <c:pt idx="54">
                  <c:v>4.04</c:v>
                </c:pt>
                <c:pt idx="55">
                  <c:v>4</c:v>
                </c:pt>
                <c:pt idx="56">
                  <c:v>3.84</c:v>
                </c:pt>
                <c:pt idx="57">
                  <c:v>3.92</c:v>
                </c:pt>
                <c:pt idx="58">
                  <c:v>4</c:v>
                </c:pt>
                <c:pt idx="59">
                  <c:v>5</c:v>
                </c:pt>
                <c:pt idx="60">
                  <c:v>4.04</c:v>
                </c:pt>
                <c:pt idx="61">
                  <c:v>4.12</c:v>
                </c:pt>
                <c:pt idx="62">
                  <c:v>4.08</c:v>
                </c:pt>
                <c:pt idx="63">
                  <c:v>4.2</c:v>
                </c:pt>
                <c:pt idx="64">
                  <c:v>4.16</c:v>
                </c:pt>
                <c:pt idx="65">
                  <c:v>5</c:v>
                </c:pt>
                <c:pt idx="66">
                  <c:v>5</c:v>
                </c:pt>
                <c:pt idx="67">
                  <c:v>3.96</c:v>
                </c:pt>
                <c:pt idx="68">
                  <c:v>4.04</c:v>
                </c:pt>
                <c:pt idx="69">
                  <c:v>5</c:v>
                </c:pt>
                <c:pt idx="70">
                  <c:v>4.96</c:v>
                </c:pt>
                <c:pt idx="71">
                  <c:v>5.04</c:v>
                </c:pt>
                <c:pt idx="72">
                  <c:v>4.24</c:v>
                </c:pt>
                <c:pt idx="73">
                  <c:v>4.32</c:v>
                </c:pt>
              </c:numCache>
            </c:numRef>
          </c:xVal>
          <c:yVal>
            <c:numRef>
              <c:f>Данные!$F$2:$F$75</c:f>
              <c:numCache>
                <c:formatCode>General</c:formatCode>
                <c:ptCount val="74"/>
                <c:pt idx="0">
                  <c:v>7</c:v>
                </c:pt>
                <c:pt idx="1">
                  <c:v>5</c:v>
                </c:pt>
                <c:pt idx="2">
                  <c:v>3</c:v>
                </c:pt>
                <c:pt idx="3">
                  <c:v>6</c:v>
                </c:pt>
                <c:pt idx="4">
                  <c:v>3</c:v>
                </c:pt>
                <c:pt idx="5">
                  <c:v>6</c:v>
                </c:pt>
                <c:pt idx="6">
                  <c:v>7</c:v>
                </c:pt>
                <c:pt idx="7">
                  <c:v>3</c:v>
                </c:pt>
                <c:pt idx="8">
                  <c:v>6</c:v>
                </c:pt>
                <c:pt idx="9">
                  <c:v>8</c:v>
                </c:pt>
                <c:pt idx="10">
                  <c:v>7</c:v>
                </c:pt>
                <c:pt idx="11">
                  <c:v>7</c:v>
                </c:pt>
                <c:pt idx="12">
                  <c:v>6</c:v>
                </c:pt>
                <c:pt idx="13">
                  <c:v>5</c:v>
                </c:pt>
                <c:pt idx="14">
                  <c:v>7</c:v>
                </c:pt>
                <c:pt idx="15">
                  <c:v>8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5</c:v>
                </c:pt>
                <c:pt idx="20">
                  <c:v>6</c:v>
                </c:pt>
                <c:pt idx="21">
                  <c:v>5</c:v>
                </c:pt>
                <c:pt idx="22">
                  <c:v>6</c:v>
                </c:pt>
                <c:pt idx="23">
                  <c:v>8</c:v>
                </c:pt>
                <c:pt idx="24">
                  <c:v>2</c:v>
                </c:pt>
                <c:pt idx="25">
                  <c:v>6</c:v>
                </c:pt>
                <c:pt idx="26">
                  <c:v>5</c:v>
                </c:pt>
                <c:pt idx="27">
                  <c:v>7</c:v>
                </c:pt>
                <c:pt idx="28">
                  <c:v>9</c:v>
                </c:pt>
                <c:pt idx="29">
                  <c:v>6</c:v>
                </c:pt>
                <c:pt idx="30">
                  <c:v>7</c:v>
                </c:pt>
                <c:pt idx="31">
                  <c:v>5</c:v>
                </c:pt>
                <c:pt idx="32">
                  <c:v>6</c:v>
                </c:pt>
                <c:pt idx="33">
                  <c:v>3</c:v>
                </c:pt>
                <c:pt idx="34">
                  <c:v>7</c:v>
                </c:pt>
                <c:pt idx="35">
                  <c:v>2</c:v>
                </c:pt>
                <c:pt idx="36">
                  <c:v>4</c:v>
                </c:pt>
                <c:pt idx="37">
                  <c:v>2</c:v>
                </c:pt>
                <c:pt idx="38">
                  <c:v>8</c:v>
                </c:pt>
                <c:pt idx="39">
                  <c:v>6</c:v>
                </c:pt>
                <c:pt idx="40">
                  <c:v>5</c:v>
                </c:pt>
                <c:pt idx="41">
                  <c:v>3</c:v>
                </c:pt>
                <c:pt idx="42">
                  <c:v>8</c:v>
                </c:pt>
                <c:pt idx="43">
                  <c:v>6</c:v>
                </c:pt>
                <c:pt idx="44">
                  <c:v>6</c:v>
                </c:pt>
                <c:pt idx="45">
                  <c:v>5</c:v>
                </c:pt>
                <c:pt idx="46">
                  <c:v>8</c:v>
                </c:pt>
                <c:pt idx="47">
                  <c:v>6</c:v>
                </c:pt>
                <c:pt idx="48">
                  <c:v>3</c:v>
                </c:pt>
                <c:pt idx="49">
                  <c:v>7</c:v>
                </c:pt>
                <c:pt idx="50">
                  <c:v>8</c:v>
                </c:pt>
                <c:pt idx="51">
                  <c:v>3</c:v>
                </c:pt>
                <c:pt idx="52">
                  <c:v>5</c:v>
                </c:pt>
                <c:pt idx="53">
                  <c:v>5</c:v>
                </c:pt>
                <c:pt idx="54">
                  <c:v>8</c:v>
                </c:pt>
                <c:pt idx="55">
                  <c:v>9</c:v>
                </c:pt>
                <c:pt idx="56">
                  <c:v>5</c:v>
                </c:pt>
                <c:pt idx="57">
                  <c:v>5</c:v>
                </c:pt>
                <c:pt idx="58">
                  <c:v>5</c:v>
                </c:pt>
                <c:pt idx="59">
                  <c:v>2</c:v>
                </c:pt>
                <c:pt idx="60">
                  <c:v>6</c:v>
                </c:pt>
                <c:pt idx="61">
                  <c:v>6</c:v>
                </c:pt>
                <c:pt idx="62">
                  <c:v>5</c:v>
                </c:pt>
                <c:pt idx="63">
                  <c:v>6</c:v>
                </c:pt>
                <c:pt idx="64">
                  <c:v>5</c:v>
                </c:pt>
                <c:pt idx="65">
                  <c:v>3</c:v>
                </c:pt>
                <c:pt idx="66">
                  <c:v>7</c:v>
                </c:pt>
                <c:pt idx="67">
                  <c:v>4</c:v>
                </c:pt>
                <c:pt idx="68">
                  <c:v>4</c:v>
                </c:pt>
                <c:pt idx="69">
                  <c:v>6</c:v>
                </c:pt>
                <c:pt idx="70">
                  <c:v>5</c:v>
                </c:pt>
                <c:pt idx="71">
                  <c:v>5</c:v>
                </c:pt>
                <c:pt idx="72">
                  <c:v>5</c:v>
                </c:pt>
                <c:pt idx="73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C47-4867-9855-9869F1A625CA}"/>
            </c:ext>
          </c:extLst>
        </c:ser>
        <c:ser>
          <c:idx val="1"/>
          <c:order val="1"/>
          <c:tx>
            <c:v>Линия регрессии</c:v>
          </c:tx>
          <c:spPr>
            <a:ln w="31750">
              <a:solidFill>
                <a:srgbClr val="D83E50"/>
              </a:solidFill>
              <a:prstDash val="solid"/>
            </a:ln>
          </c:spPr>
          <c:marker>
            <c:symbol val="none"/>
          </c:marker>
          <c:xVal>
            <c:numRef>
              <c:f>Расчёты_графиков!$K$781:$K$840</c:f>
              <c:numCache>
                <c:formatCode>General</c:formatCode>
                <c:ptCount val="60"/>
                <c:pt idx="0">
                  <c:v>1</c:v>
                </c:pt>
                <c:pt idx="1">
                  <c:v>1.0677966101694916</c:v>
                </c:pt>
                <c:pt idx="2">
                  <c:v>1.1355932203389831</c:v>
                </c:pt>
                <c:pt idx="3">
                  <c:v>1.2033898305084745</c:v>
                </c:pt>
                <c:pt idx="4">
                  <c:v>1.271186440677966</c:v>
                </c:pt>
                <c:pt idx="5">
                  <c:v>1.3389830508474576</c:v>
                </c:pt>
                <c:pt idx="6">
                  <c:v>1.4067796610169492</c:v>
                </c:pt>
                <c:pt idx="7">
                  <c:v>1.4745762711864407</c:v>
                </c:pt>
                <c:pt idx="8">
                  <c:v>1.5423728813559321</c:v>
                </c:pt>
                <c:pt idx="9">
                  <c:v>1.6101694915254239</c:v>
                </c:pt>
                <c:pt idx="10">
                  <c:v>1.6779661016949152</c:v>
                </c:pt>
                <c:pt idx="11">
                  <c:v>1.7457627118644068</c:v>
                </c:pt>
                <c:pt idx="12">
                  <c:v>1.8135593220338984</c:v>
                </c:pt>
                <c:pt idx="13">
                  <c:v>1.8813559322033897</c:v>
                </c:pt>
                <c:pt idx="14">
                  <c:v>1.9491525423728815</c:v>
                </c:pt>
                <c:pt idx="15">
                  <c:v>2.0169491525423728</c:v>
                </c:pt>
                <c:pt idx="16">
                  <c:v>2.0847457627118642</c:v>
                </c:pt>
                <c:pt idx="17">
                  <c:v>2.152542372881356</c:v>
                </c:pt>
                <c:pt idx="18">
                  <c:v>2.2203389830508478</c:v>
                </c:pt>
                <c:pt idx="19">
                  <c:v>2.2881355932203391</c:v>
                </c:pt>
                <c:pt idx="20">
                  <c:v>2.3559322033898304</c:v>
                </c:pt>
                <c:pt idx="21">
                  <c:v>2.4237288135593218</c:v>
                </c:pt>
                <c:pt idx="22">
                  <c:v>2.4915254237288136</c:v>
                </c:pt>
                <c:pt idx="23">
                  <c:v>2.5593220338983054</c:v>
                </c:pt>
                <c:pt idx="24">
                  <c:v>2.6271186440677967</c:v>
                </c:pt>
                <c:pt idx="25">
                  <c:v>2.6949152542372881</c:v>
                </c:pt>
                <c:pt idx="26">
                  <c:v>2.7627118644067794</c:v>
                </c:pt>
                <c:pt idx="27">
                  <c:v>2.8305084745762712</c:v>
                </c:pt>
                <c:pt idx="28">
                  <c:v>2.898305084745763</c:v>
                </c:pt>
                <c:pt idx="29">
                  <c:v>2.9661016949152543</c:v>
                </c:pt>
                <c:pt idx="30">
                  <c:v>3.0338983050847457</c:v>
                </c:pt>
                <c:pt idx="31">
                  <c:v>3.1016949152542375</c:v>
                </c:pt>
                <c:pt idx="32">
                  <c:v>3.1694915254237288</c:v>
                </c:pt>
                <c:pt idx="33">
                  <c:v>3.2372881355932202</c:v>
                </c:pt>
                <c:pt idx="34">
                  <c:v>3.3050847457627119</c:v>
                </c:pt>
                <c:pt idx="35">
                  <c:v>3.3728813559322033</c:v>
                </c:pt>
                <c:pt idx="36">
                  <c:v>3.4406779661016951</c:v>
                </c:pt>
                <c:pt idx="37">
                  <c:v>3.5084745762711864</c:v>
                </c:pt>
                <c:pt idx="38">
                  <c:v>3.5762711864406778</c:v>
                </c:pt>
                <c:pt idx="39">
                  <c:v>3.6440677966101696</c:v>
                </c:pt>
                <c:pt idx="40">
                  <c:v>3.7118644067796609</c:v>
                </c:pt>
                <c:pt idx="41">
                  <c:v>3.7796610169491527</c:v>
                </c:pt>
                <c:pt idx="42">
                  <c:v>3.847457627118644</c:v>
                </c:pt>
                <c:pt idx="43">
                  <c:v>3.9152542372881354</c:v>
                </c:pt>
                <c:pt idx="44">
                  <c:v>3.9830508474576272</c:v>
                </c:pt>
                <c:pt idx="45">
                  <c:v>4.0508474576271185</c:v>
                </c:pt>
                <c:pt idx="46">
                  <c:v>4.1186440677966107</c:v>
                </c:pt>
                <c:pt idx="47">
                  <c:v>4.1864406779661021</c:v>
                </c:pt>
                <c:pt idx="48">
                  <c:v>4.2542372881355934</c:v>
                </c:pt>
                <c:pt idx="49">
                  <c:v>4.3220338983050848</c:v>
                </c:pt>
                <c:pt idx="50">
                  <c:v>4.3898305084745761</c:v>
                </c:pt>
                <c:pt idx="51">
                  <c:v>4.4576271186440675</c:v>
                </c:pt>
                <c:pt idx="52">
                  <c:v>4.5254237288135588</c:v>
                </c:pt>
                <c:pt idx="53">
                  <c:v>4.593220338983051</c:v>
                </c:pt>
                <c:pt idx="54">
                  <c:v>4.6610169491525424</c:v>
                </c:pt>
                <c:pt idx="55">
                  <c:v>4.7288135593220337</c:v>
                </c:pt>
                <c:pt idx="56">
                  <c:v>4.796610169491526</c:v>
                </c:pt>
                <c:pt idx="57">
                  <c:v>4.8644067796610173</c:v>
                </c:pt>
                <c:pt idx="58">
                  <c:v>4.9322033898305087</c:v>
                </c:pt>
                <c:pt idx="59">
                  <c:v>5</c:v>
                </c:pt>
              </c:numCache>
            </c:numRef>
          </c:xVal>
          <c:yVal>
            <c:numRef>
              <c:f>Расчёты_графиков!$L$781:$L$840</c:f>
              <c:numCache>
                <c:formatCode>General</c:formatCode>
                <c:ptCount val="60"/>
                <c:pt idx="0">
                  <c:v>6.3325015595757952</c:v>
                </c:pt>
                <c:pt idx="1">
                  <c:v>6.3090709157617599</c:v>
                </c:pt>
                <c:pt idx="2">
                  <c:v>6.2856402719477256</c:v>
                </c:pt>
                <c:pt idx="3">
                  <c:v>6.2622096281336903</c:v>
                </c:pt>
                <c:pt idx="4">
                  <c:v>6.2387789843196551</c:v>
                </c:pt>
                <c:pt idx="5">
                  <c:v>6.2153483405056198</c:v>
                </c:pt>
                <c:pt idx="6">
                  <c:v>6.1919176966915845</c:v>
                </c:pt>
                <c:pt idx="7">
                  <c:v>6.1684870528775493</c:v>
                </c:pt>
                <c:pt idx="8">
                  <c:v>6.145056409063514</c:v>
                </c:pt>
                <c:pt idx="9">
                  <c:v>6.1216257652494797</c:v>
                </c:pt>
                <c:pt idx="10">
                  <c:v>6.0981951214354444</c:v>
                </c:pt>
                <c:pt idx="11">
                  <c:v>6.0747644776214091</c:v>
                </c:pt>
                <c:pt idx="12">
                  <c:v>6.0513338338073739</c:v>
                </c:pt>
                <c:pt idx="13">
                  <c:v>6.0279031899933386</c:v>
                </c:pt>
                <c:pt idx="14">
                  <c:v>6.0044725461793034</c:v>
                </c:pt>
                <c:pt idx="15">
                  <c:v>5.9810419023652681</c:v>
                </c:pt>
                <c:pt idx="16">
                  <c:v>5.9576112585512337</c:v>
                </c:pt>
                <c:pt idx="17">
                  <c:v>5.9341806147371985</c:v>
                </c:pt>
                <c:pt idx="18">
                  <c:v>5.9107499709231632</c:v>
                </c:pt>
                <c:pt idx="19">
                  <c:v>5.887319327109128</c:v>
                </c:pt>
                <c:pt idx="20">
                  <c:v>5.8638886832950927</c:v>
                </c:pt>
                <c:pt idx="21">
                  <c:v>5.8404580394810575</c:v>
                </c:pt>
                <c:pt idx="22">
                  <c:v>5.8170273956670222</c:v>
                </c:pt>
                <c:pt idx="23">
                  <c:v>5.7935967518529869</c:v>
                </c:pt>
                <c:pt idx="24">
                  <c:v>5.7701661080389526</c:v>
                </c:pt>
                <c:pt idx="25">
                  <c:v>5.7467354642249173</c:v>
                </c:pt>
                <c:pt idx="26">
                  <c:v>5.7233048204108821</c:v>
                </c:pt>
                <c:pt idx="27">
                  <c:v>5.6998741765968468</c:v>
                </c:pt>
                <c:pt idx="28">
                  <c:v>5.6764435327828116</c:v>
                </c:pt>
                <c:pt idx="29">
                  <c:v>5.6530128889687763</c:v>
                </c:pt>
                <c:pt idx="30">
                  <c:v>5.6295822451547419</c:v>
                </c:pt>
                <c:pt idx="31">
                  <c:v>5.6061516013407058</c:v>
                </c:pt>
                <c:pt idx="32">
                  <c:v>5.5827209575266714</c:v>
                </c:pt>
                <c:pt idx="33">
                  <c:v>5.5592903137126362</c:v>
                </c:pt>
                <c:pt idx="34">
                  <c:v>5.5358596698986009</c:v>
                </c:pt>
                <c:pt idx="35">
                  <c:v>5.5124290260845656</c:v>
                </c:pt>
                <c:pt idx="36">
                  <c:v>5.4889983822705304</c:v>
                </c:pt>
                <c:pt idx="37">
                  <c:v>5.465567738456496</c:v>
                </c:pt>
                <c:pt idx="38">
                  <c:v>5.4421370946424608</c:v>
                </c:pt>
                <c:pt idx="39">
                  <c:v>5.4187064508284255</c:v>
                </c:pt>
                <c:pt idx="40">
                  <c:v>5.3952758070143902</c:v>
                </c:pt>
                <c:pt idx="41">
                  <c:v>5.371845163200355</c:v>
                </c:pt>
                <c:pt idx="42">
                  <c:v>5.3484145193863197</c:v>
                </c:pt>
                <c:pt idx="43">
                  <c:v>5.3249838755722845</c:v>
                </c:pt>
                <c:pt idx="44">
                  <c:v>5.3015532317582501</c:v>
                </c:pt>
                <c:pt idx="45">
                  <c:v>5.2781225879442148</c:v>
                </c:pt>
                <c:pt idx="46">
                  <c:v>5.2546919441301796</c:v>
                </c:pt>
                <c:pt idx="47">
                  <c:v>5.2312613003161443</c:v>
                </c:pt>
                <c:pt idx="48">
                  <c:v>5.2078306565021091</c:v>
                </c:pt>
                <c:pt idx="49">
                  <c:v>5.1844000126880738</c:v>
                </c:pt>
                <c:pt idx="50">
                  <c:v>5.1609693688740386</c:v>
                </c:pt>
                <c:pt idx="51">
                  <c:v>5.1375387250600042</c:v>
                </c:pt>
                <c:pt idx="52">
                  <c:v>5.1141080812459689</c:v>
                </c:pt>
                <c:pt idx="53">
                  <c:v>5.0906774374319337</c:v>
                </c:pt>
                <c:pt idx="54">
                  <c:v>5.0672467936178984</c:v>
                </c:pt>
                <c:pt idx="55">
                  <c:v>5.0438161498038632</c:v>
                </c:pt>
                <c:pt idx="56">
                  <c:v>5.0203855059898279</c:v>
                </c:pt>
                <c:pt idx="57">
                  <c:v>4.9969548621757927</c:v>
                </c:pt>
                <c:pt idx="58">
                  <c:v>4.9735242183617574</c:v>
                </c:pt>
                <c:pt idx="59">
                  <c:v>4.9500935745477221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C47-4867-9855-9869F1A625CA}"/>
            </c:ext>
          </c:extLst>
        </c:ser>
        <c:ser>
          <c:idx val="2"/>
          <c:order val="2"/>
          <c:tx>
            <c:v>95% доверительный интервал</c:v>
          </c:tx>
          <c:spPr>
            <a:ln w="19050">
              <a:solidFill>
                <a:srgbClr val="89939C"/>
              </a:solidFill>
              <a:prstDash val="dash"/>
            </a:ln>
          </c:spPr>
          <c:marker>
            <c:symbol val="none"/>
          </c:marker>
          <c:xVal>
            <c:numRef>
              <c:f>Расчёты_графиков!$S$781:$S$901</c:f>
              <c:numCache>
                <c:formatCode>General</c:formatCode>
                <c:ptCount val="121"/>
                <c:pt idx="0">
                  <c:v>1</c:v>
                </c:pt>
                <c:pt idx="1">
                  <c:v>1.0677966101694916</c:v>
                </c:pt>
                <c:pt idx="2">
                  <c:v>1.1355932203389831</c:v>
                </c:pt>
                <c:pt idx="3">
                  <c:v>1.2033898305084745</c:v>
                </c:pt>
                <c:pt idx="4">
                  <c:v>1.271186440677966</c:v>
                </c:pt>
                <c:pt idx="5">
                  <c:v>1.3389830508474576</c:v>
                </c:pt>
                <c:pt idx="6">
                  <c:v>1.4067796610169492</c:v>
                </c:pt>
                <c:pt idx="7">
                  <c:v>1.4745762711864407</c:v>
                </c:pt>
                <c:pt idx="8">
                  <c:v>1.5423728813559321</c:v>
                </c:pt>
                <c:pt idx="9">
                  <c:v>1.6101694915254239</c:v>
                </c:pt>
                <c:pt idx="10">
                  <c:v>1.6779661016949152</c:v>
                </c:pt>
                <c:pt idx="11">
                  <c:v>1.7457627118644068</c:v>
                </c:pt>
                <c:pt idx="12">
                  <c:v>1.8135593220338984</c:v>
                </c:pt>
                <c:pt idx="13">
                  <c:v>1.8813559322033897</c:v>
                </c:pt>
                <c:pt idx="14">
                  <c:v>1.9491525423728815</c:v>
                </c:pt>
                <c:pt idx="15">
                  <c:v>2.0169491525423728</c:v>
                </c:pt>
                <c:pt idx="16">
                  <c:v>2.0847457627118642</c:v>
                </c:pt>
                <c:pt idx="17">
                  <c:v>2.152542372881356</c:v>
                </c:pt>
                <c:pt idx="18">
                  <c:v>2.2203389830508478</c:v>
                </c:pt>
                <c:pt idx="19">
                  <c:v>2.2881355932203391</c:v>
                </c:pt>
                <c:pt idx="20">
                  <c:v>2.3559322033898304</c:v>
                </c:pt>
                <c:pt idx="21">
                  <c:v>2.4237288135593218</c:v>
                </c:pt>
                <c:pt idx="22">
                  <c:v>2.4915254237288136</c:v>
                </c:pt>
                <c:pt idx="23">
                  <c:v>2.5593220338983054</c:v>
                </c:pt>
                <c:pt idx="24">
                  <c:v>2.6271186440677967</c:v>
                </c:pt>
                <c:pt idx="25">
                  <c:v>2.6949152542372881</c:v>
                </c:pt>
                <c:pt idx="26">
                  <c:v>2.7627118644067794</c:v>
                </c:pt>
                <c:pt idx="27">
                  <c:v>2.8305084745762712</c:v>
                </c:pt>
                <c:pt idx="28">
                  <c:v>2.898305084745763</c:v>
                </c:pt>
                <c:pt idx="29">
                  <c:v>2.9661016949152543</c:v>
                </c:pt>
                <c:pt idx="30">
                  <c:v>3.0338983050847457</c:v>
                </c:pt>
                <c:pt idx="31">
                  <c:v>3.1016949152542375</c:v>
                </c:pt>
                <c:pt idx="32">
                  <c:v>3.1694915254237288</c:v>
                </c:pt>
                <c:pt idx="33">
                  <c:v>3.2372881355932202</c:v>
                </c:pt>
                <c:pt idx="34">
                  <c:v>3.3050847457627119</c:v>
                </c:pt>
                <c:pt idx="35">
                  <c:v>3.3728813559322033</c:v>
                </c:pt>
                <c:pt idx="36">
                  <c:v>3.4406779661016951</c:v>
                </c:pt>
                <c:pt idx="37">
                  <c:v>3.5084745762711864</c:v>
                </c:pt>
                <c:pt idx="38">
                  <c:v>3.5762711864406778</c:v>
                </c:pt>
                <c:pt idx="39">
                  <c:v>3.6440677966101696</c:v>
                </c:pt>
                <c:pt idx="40">
                  <c:v>3.7118644067796609</c:v>
                </c:pt>
                <c:pt idx="41">
                  <c:v>3.7796610169491527</c:v>
                </c:pt>
                <c:pt idx="42">
                  <c:v>3.847457627118644</c:v>
                </c:pt>
                <c:pt idx="43">
                  <c:v>3.9152542372881354</c:v>
                </c:pt>
                <c:pt idx="44">
                  <c:v>3.9830508474576272</c:v>
                </c:pt>
                <c:pt idx="45">
                  <c:v>4.0508474576271185</c:v>
                </c:pt>
                <c:pt idx="46">
                  <c:v>4.1186440677966107</c:v>
                </c:pt>
                <c:pt idx="47">
                  <c:v>4.1864406779661021</c:v>
                </c:pt>
                <c:pt idx="48">
                  <c:v>4.2542372881355934</c:v>
                </c:pt>
                <c:pt idx="49">
                  <c:v>4.3220338983050848</c:v>
                </c:pt>
                <c:pt idx="50">
                  <c:v>4.3898305084745761</c:v>
                </c:pt>
                <c:pt idx="51">
                  <c:v>4.4576271186440675</c:v>
                </c:pt>
                <c:pt idx="52">
                  <c:v>4.5254237288135588</c:v>
                </c:pt>
                <c:pt idx="53">
                  <c:v>4.593220338983051</c:v>
                </c:pt>
                <c:pt idx="54">
                  <c:v>4.6610169491525424</c:v>
                </c:pt>
                <c:pt idx="55">
                  <c:v>4.7288135593220337</c:v>
                </c:pt>
                <c:pt idx="56">
                  <c:v>4.796610169491526</c:v>
                </c:pt>
                <c:pt idx="57">
                  <c:v>4.8644067796610173</c:v>
                </c:pt>
                <c:pt idx="58">
                  <c:v>4.9322033898305087</c:v>
                </c:pt>
                <c:pt idx="59">
                  <c:v>5</c:v>
                </c:pt>
                <c:pt idx="61">
                  <c:v>1</c:v>
                </c:pt>
                <c:pt idx="62">
                  <c:v>1.0677966101694916</c:v>
                </c:pt>
                <c:pt idx="63">
                  <c:v>1.1355932203389831</c:v>
                </c:pt>
                <c:pt idx="64">
                  <c:v>1.2033898305084745</c:v>
                </c:pt>
                <c:pt idx="65">
                  <c:v>1.271186440677966</c:v>
                </c:pt>
                <c:pt idx="66">
                  <c:v>1.3389830508474576</c:v>
                </c:pt>
                <c:pt idx="67">
                  <c:v>1.4067796610169492</c:v>
                </c:pt>
                <c:pt idx="68">
                  <c:v>1.4745762711864407</c:v>
                </c:pt>
                <c:pt idx="69">
                  <c:v>1.5423728813559321</c:v>
                </c:pt>
                <c:pt idx="70">
                  <c:v>1.6101694915254239</c:v>
                </c:pt>
                <c:pt idx="71">
                  <c:v>1.6779661016949152</c:v>
                </c:pt>
                <c:pt idx="72">
                  <c:v>1.7457627118644068</c:v>
                </c:pt>
                <c:pt idx="73">
                  <c:v>1.8135593220338984</c:v>
                </c:pt>
                <c:pt idx="74">
                  <c:v>1.8813559322033897</c:v>
                </c:pt>
                <c:pt idx="75">
                  <c:v>1.9491525423728815</c:v>
                </c:pt>
                <c:pt idx="76">
                  <c:v>2.0169491525423728</c:v>
                </c:pt>
                <c:pt idx="77">
                  <c:v>2.0847457627118642</c:v>
                </c:pt>
                <c:pt idx="78">
                  <c:v>2.152542372881356</c:v>
                </c:pt>
                <c:pt idx="79">
                  <c:v>2.2203389830508478</c:v>
                </c:pt>
                <c:pt idx="80">
                  <c:v>2.2881355932203391</c:v>
                </c:pt>
                <c:pt idx="81">
                  <c:v>2.3559322033898304</c:v>
                </c:pt>
                <c:pt idx="82">
                  <c:v>2.4237288135593218</c:v>
                </c:pt>
                <c:pt idx="83">
                  <c:v>2.4915254237288136</c:v>
                </c:pt>
                <c:pt idx="84">
                  <c:v>2.5593220338983054</c:v>
                </c:pt>
                <c:pt idx="85">
                  <c:v>2.6271186440677967</c:v>
                </c:pt>
                <c:pt idx="86">
                  <c:v>2.6949152542372881</c:v>
                </c:pt>
                <c:pt idx="87">
                  <c:v>2.7627118644067794</c:v>
                </c:pt>
                <c:pt idx="88">
                  <c:v>2.8305084745762712</c:v>
                </c:pt>
                <c:pt idx="89">
                  <c:v>2.898305084745763</c:v>
                </c:pt>
                <c:pt idx="90">
                  <c:v>2.9661016949152543</c:v>
                </c:pt>
                <c:pt idx="91">
                  <c:v>3.0338983050847457</c:v>
                </c:pt>
                <c:pt idx="92">
                  <c:v>3.1016949152542375</c:v>
                </c:pt>
                <c:pt idx="93">
                  <c:v>3.1694915254237288</c:v>
                </c:pt>
                <c:pt idx="94">
                  <c:v>3.2372881355932202</c:v>
                </c:pt>
                <c:pt idx="95">
                  <c:v>3.3050847457627119</c:v>
                </c:pt>
                <c:pt idx="96">
                  <c:v>3.3728813559322033</c:v>
                </c:pt>
                <c:pt idx="97">
                  <c:v>3.4406779661016951</c:v>
                </c:pt>
                <c:pt idx="98">
                  <c:v>3.5084745762711864</c:v>
                </c:pt>
                <c:pt idx="99">
                  <c:v>3.5762711864406778</c:v>
                </c:pt>
                <c:pt idx="100">
                  <c:v>3.6440677966101696</c:v>
                </c:pt>
                <c:pt idx="101">
                  <c:v>3.7118644067796609</c:v>
                </c:pt>
                <c:pt idx="102">
                  <c:v>3.7796610169491527</c:v>
                </c:pt>
                <c:pt idx="103">
                  <c:v>3.847457627118644</c:v>
                </c:pt>
                <c:pt idx="104">
                  <c:v>3.9152542372881354</c:v>
                </c:pt>
                <c:pt idx="105">
                  <c:v>3.9830508474576272</c:v>
                </c:pt>
                <c:pt idx="106">
                  <c:v>4.0508474576271185</c:v>
                </c:pt>
                <c:pt idx="107">
                  <c:v>4.1186440677966107</c:v>
                </c:pt>
                <c:pt idx="108">
                  <c:v>4.1864406779661021</c:v>
                </c:pt>
                <c:pt idx="109">
                  <c:v>4.2542372881355934</c:v>
                </c:pt>
                <c:pt idx="110">
                  <c:v>4.3220338983050848</c:v>
                </c:pt>
                <c:pt idx="111">
                  <c:v>4.3898305084745761</c:v>
                </c:pt>
                <c:pt idx="112">
                  <c:v>4.4576271186440675</c:v>
                </c:pt>
                <c:pt idx="113">
                  <c:v>4.5254237288135588</c:v>
                </c:pt>
                <c:pt idx="114">
                  <c:v>4.593220338983051</c:v>
                </c:pt>
                <c:pt idx="115">
                  <c:v>4.6610169491525424</c:v>
                </c:pt>
                <c:pt idx="116">
                  <c:v>4.7288135593220337</c:v>
                </c:pt>
                <c:pt idx="117">
                  <c:v>4.796610169491526</c:v>
                </c:pt>
                <c:pt idx="118">
                  <c:v>4.8644067796610173</c:v>
                </c:pt>
                <c:pt idx="119">
                  <c:v>4.9322033898305087</c:v>
                </c:pt>
                <c:pt idx="120">
                  <c:v>5</c:v>
                </c:pt>
              </c:numCache>
            </c:numRef>
          </c:xVal>
          <c:yVal>
            <c:numRef>
              <c:f>Расчёты_графиков!$T$781:$T$901</c:f>
              <c:numCache>
                <c:formatCode>General</c:formatCode>
                <c:ptCount val="121"/>
                <c:pt idx="0">
                  <c:v>5.4581053282546463</c:v>
                </c:pt>
                <c:pt idx="1">
                  <c:v>5.4566917556128534</c:v>
                </c:pt>
                <c:pt idx="2">
                  <c:v>5.4551233439213496</c:v>
                </c:pt>
                <c:pt idx="3">
                  <c:v>5.4533875373156482</c:v>
                </c:pt>
                <c:pt idx="4">
                  <c:v>5.4514704976215533</c:v>
                </c:pt>
                <c:pt idx="5">
                  <c:v>5.4493569543705487</c:v>
                </c:pt>
                <c:pt idx="6">
                  <c:v>5.4470300368299869</c:v>
                </c:pt>
                <c:pt idx="7">
                  <c:v>5.4444710863618013</c:v>
                </c:pt>
                <c:pt idx="8">
                  <c:v>5.441659447526102</c:v>
                </c:pt>
                <c:pt idx="9">
                  <c:v>5.4385722365966505</c:v>
                </c:pt>
                <c:pt idx="10">
                  <c:v>5.4351840866217049</c:v>
                </c:pt>
                <c:pt idx="11">
                  <c:v>5.4314668689369245</c:v>
                </c:pt>
                <c:pt idx="12">
                  <c:v>5.4273893922356482</c:v>
                </c:pt>
                <c:pt idx="13">
                  <c:v>5.4229170820767889</c:v>
                </c:pt>
                <c:pt idx="14">
                  <c:v>5.4180116462460983</c:v>
                </c:pt>
                <c:pt idx="15">
                  <c:v>5.4126307348961555</c:v>
                </c:pt>
                <c:pt idx="16">
                  <c:v>5.4067276091011696</c:v>
                </c:pt>
                <c:pt idx="17">
                  <c:v>5.4002508375811296</c:v>
                </c:pt>
                <c:pt idx="18">
                  <c:v>5.3931440489988454</c:v>
                </c:pt>
                <c:pt idx="19">
                  <c:v>5.3853457763487285</c:v>
                </c:pt>
                <c:pt idx="20">
                  <c:v>5.3767894401324998</c:v>
                </c:pt>
                <c:pt idx="21">
                  <c:v>5.3674035273042646</c:v>
                </c:pt>
                <c:pt idx="22">
                  <c:v>5.3571120316414627</c:v>
                </c:pt>
                <c:pt idx="23">
                  <c:v>5.3458352255721016</c:v>
                </c:pt>
                <c:pt idx="24">
                  <c:v>5.3334908298943109</c:v>
                </c:pt>
                <c:pt idx="25">
                  <c:v>5.3199956319585837</c:v>
                </c:pt>
                <c:pt idx="26">
                  <c:v>5.3052675707340349</c:v>
                </c:pt>
                <c:pt idx="27">
                  <c:v>5.2892282566527262</c:v>
                </c:pt>
                <c:pt idx="28">
                  <c:v>5.2718058271858048</c:v>
                </c:pt>
                <c:pt idx="29">
                  <c:v>5.252937963749071</c:v>
                </c:pt>
                <c:pt idx="30">
                  <c:v>5.2325748263789933</c:v>
                </c:pt>
                <c:pt idx="31">
                  <c:v>5.2106816187742684</c:v>
                </c:pt>
                <c:pt idx="32">
                  <c:v>5.1872404960195322</c:v>
                </c:pt>
                <c:pt idx="33">
                  <c:v>5.1622515806759353</c:v>
                </c:pt>
                <c:pt idx="34">
                  <c:v>5.1357329557147526</c:v>
                </c:pt>
                <c:pt idx="35">
                  <c:v>5.1077196352243783</c:v>
                </c:pt>
                <c:pt idx="36">
                  <c:v>5.0782616460611054</c:v>
                </c:pt>
                <c:pt idx="37">
                  <c:v>5.047421455837358</c:v>
                </c:pt>
                <c:pt idx="38">
                  <c:v>5.0152710352759149</c:v>
                </c:pt>
                <c:pt idx="39">
                  <c:v>4.9818888419975433</c:v>
                </c:pt>
                <c:pt idx="40">
                  <c:v>4.9473569684900198</c:v>
                </c:pt>
                <c:pt idx="41">
                  <c:v>4.9117586276442715</c:v>
                </c:pt>
                <c:pt idx="42">
                  <c:v>4.8751760739175856</c:v>
                </c:pt>
                <c:pt idx="43">
                  <c:v>4.8376889914271546</c:v>
                </c:pt>
                <c:pt idx="44">
                  <c:v>4.7993733299968868</c:v>
                </c:pt>
                <c:pt idx="45">
                  <c:v>4.7603005382719594</c:v>
                </c:pt>
                <c:pt idx="46">
                  <c:v>4.720537127344647</c:v>
                </c:pt>
                <c:pt idx="47">
                  <c:v>4.6801444948762434</c:v>
                </c:pt>
                <c:pt idx="48">
                  <c:v>4.6391789441543283</c:v>
                </c:pt>
                <c:pt idx="49">
                  <c:v>4.597691841236089</c:v>
                </c:pt>
                <c:pt idx="50">
                  <c:v>4.5557298636236903</c:v>
                </c:pt>
                <c:pt idx="51">
                  <c:v>4.5133353040844959</c:v>
                </c:pt>
                <c:pt idx="52">
                  <c:v>4.4705464023261818</c:v>
                </c:pt>
                <c:pt idx="53">
                  <c:v>4.4273976848649879</c:v>
                </c:pt>
                <c:pt idx="54">
                  <c:v>4.3839202995236271</c:v>
                </c:pt>
                <c:pt idx="55">
                  <c:v>4.3401423356884345</c:v>
                </c:pt>
                <c:pt idx="56">
                  <c:v>4.2960891249502513</c:v>
                </c:pt>
                <c:pt idx="57">
                  <c:v>4.2517835192774056</c:v>
                </c:pt>
                <c:pt idx="58">
                  <c:v>4.207246145635132</c:v>
                </c:pt>
                <c:pt idx="59">
                  <c:v>4.1624956371577353</c:v>
                </c:pt>
                <c:pt idx="61">
                  <c:v>7.206897790896944</c:v>
                </c:pt>
                <c:pt idx="62">
                  <c:v>7.1614500759106665</c:v>
                </c:pt>
                <c:pt idx="63">
                  <c:v>7.1161571999741016</c:v>
                </c:pt>
                <c:pt idx="64">
                  <c:v>7.0710317189517324</c:v>
                </c:pt>
                <c:pt idx="65">
                  <c:v>7.0260874710177568</c:v>
                </c:pt>
                <c:pt idx="66">
                  <c:v>6.9813397266406909</c:v>
                </c:pt>
                <c:pt idx="67">
                  <c:v>6.9368053565531822</c:v>
                </c:pt>
                <c:pt idx="68">
                  <c:v>6.8925030193932972</c:v>
                </c:pt>
                <c:pt idx="69">
                  <c:v>6.8484533706009261</c:v>
                </c:pt>
                <c:pt idx="70">
                  <c:v>6.8046792939023089</c:v>
                </c:pt>
                <c:pt idx="71">
                  <c:v>6.7612061562491839</c:v>
                </c:pt>
                <c:pt idx="72">
                  <c:v>6.7180620863058937</c:v>
                </c:pt>
                <c:pt idx="73">
                  <c:v>6.6752782753790996</c:v>
                </c:pt>
                <c:pt idx="74">
                  <c:v>6.6328892979098883</c:v>
                </c:pt>
                <c:pt idx="75">
                  <c:v>6.5909334461125084</c:v>
                </c:pt>
                <c:pt idx="76">
                  <c:v>6.5494530698343807</c:v>
                </c:pt>
                <c:pt idx="77">
                  <c:v>6.5084949080012979</c:v>
                </c:pt>
                <c:pt idx="78">
                  <c:v>6.4681103918932674</c:v>
                </c:pt>
                <c:pt idx="79">
                  <c:v>6.4283558928474811</c:v>
                </c:pt>
                <c:pt idx="80">
                  <c:v>6.3892928778695275</c:v>
                </c:pt>
                <c:pt idx="81">
                  <c:v>6.3509879264576856</c:v>
                </c:pt>
                <c:pt idx="82">
                  <c:v>6.3135125516578503</c:v>
                </c:pt>
                <c:pt idx="83">
                  <c:v>6.2769427596925818</c:v>
                </c:pt>
                <c:pt idx="84">
                  <c:v>6.2413582781338723</c:v>
                </c:pt>
                <c:pt idx="85">
                  <c:v>6.2068413861835943</c:v>
                </c:pt>
                <c:pt idx="86">
                  <c:v>6.1734752964912509</c:v>
                </c:pt>
                <c:pt idx="87">
                  <c:v>6.1413420700877293</c:v>
                </c:pt>
                <c:pt idx="88">
                  <c:v>6.1105200965409674</c:v>
                </c:pt>
                <c:pt idx="89">
                  <c:v>6.0810812383798183</c:v>
                </c:pt>
                <c:pt idx="90">
                  <c:v>6.0530878141884816</c:v>
                </c:pt>
                <c:pt idx="91">
                  <c:v>6.0265896639304906</c:v>
                </c:pt>
                <c:pt idx="92">
                  <c:v>6.0016215839071432</c:v>
                </c:pt>
                <c:pt idx="93">
                  <c:v>5.9782014190338106</c:v>
                </c:pt>
                <c:pt idx="94">
                  <c:v>5.9563290467493371</c:v>
                </c:pt>
                <c:pt idx="95">
                  <c:v>5.9359863840824492</c:v>
                </c:pt>
                <c:pt idx="96">
                  <c:v>5.917138416944753</c:v>
                </c:pt>
                <c:pt idx="97">
                  <c:v>5.8997351184799554</c:v>
                </c:pt>
                <c:pt idx="98">
                  <c:v>5.883714021075634</c:v>
                </c:pt>
                <c:pt idx="99">
                  <c:v>5.8690031540090066</c:v>
                </c:pt>
                <c:pt idx="100">
                  <c:v>5.8555240596593077</c:v>
                </c:pt>
                <c:pt idx="101">
                  <c:v>5.8431946455387607</c:v>
                </c:pt>
                <c:pt idx="102">
                  <c:v>5.8319316987564385</c:v>
                </c:pt>
                <c:pt idx="103">
                  <c:v>5.8216529648550539</c:v>
                </c:pt>
                <c:pt idx="104">
                  <c:v>5.8122787597174144</c:v>
                </c:pt>
                <c:pt idx="105">
                  <c:v>5.8037331335196134</c:v>
                </c:pt>
                <c:pt idx="106">
                  <c:v>5.7959446376164703</c:v>
                </c:pt>
                <c:pt idx="107">
                  <c:v>5.7888467609157122</c:v>
                </c:pt>
                <c:pt idx="108">
                  <c:v>5.7823781057560453</c:v>
                </c:pt>
                <c:pt idx="109">
                  <c:v>5.7764823688498899</c:v>
                </c:pt>
                <c:pt idx="110">
                  <c:v>5.7711081841400587</c:v>
                </c:pt>
                <c:pt idx="111">
                  <c:v>5.7662088741243869</c:v>
                </c:pt>
                <c:pt idx="112">
                  <c:v>5.7617421460355125</c:v>
                </c:pt>
                <c:pt idx="113">
                  <c:v>5.757669760165756</c:v>
                </c:pt>
                <c:pt idx="114">
                  <c:v>5.7539571899988795</c:v>
                </c:pt>
                <c:pt idx="115">
                  <c:v>5.7505732877121698</c:v>
                </c:pt>
                <c:pt idx="116">
                  <c:v>5.7474899639192918</c:v>
                </c:pt>
                <c:pt idx="117">
                  <c:v>5.7446818870294045</c:v>
                </c:pt>
                <c:pt idx="118">
                  <c:v>5.7421262050741797</c:v>
                </c:pt>
                <c:pt idx="119">
                  <c:v>5.7398022910883828</c:v>
                </c:pt>
                <c:pt idx="120">
                  <c:v>5.737691511937709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C47-4867-9855-9869F1A625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ax val="6"/>
          <c:min val="0"/>
        </c:scaling>
        <c:delete val="0"/>
        <c:axPos val="b"/>
        <c:title>
          <c:tx>
            <c:strRef>
              <c:f>Регрессия_графики!$D$104</c:f>
              <c:strCache>
                <c:ptCount val="1"/>
                <c:pt idx="0">
                  <c:v>Л1</c:v>
                </c:pt>
              </c:strCache>
            </c:strRef>
          </c:tx>
          <c:overlay val="0"/>
          <c:txPr>
            <a:bodyPr/>
            <a:lstStyle/>
            <a:p>
              <a:pPr>
                <a:defRPr sz="1100" b="1">
                  <a:solidFill>
                    <a:srgbClr val="263746"/>
                  </a:solidFill>
                  <a:latin typeface="Arial"/>
                </a:defRPr>
              </a:pPr>
              <a:endParaRPr lang="ru-RU"/>
            </a:p>
          </c:txPr>
        </c:title>
        <c:numFmt formatCode="[&lt;1]&quot;&quot;;[&gt;5]&quot;&quot;;0" sourceLinked="0"/>
        <c:majorTickMark val="out"/>
        <c:minorTickMark val="none"/>
        <c:tickLblPos val="low"/>
        <c:spPr>
          <a:ln w="9525">
            <a:solidFill>
              <a:srgbClr val="263746"/>
            </a:solidFill>
            <a:prstDash val="solid"/>
          </a:ln>
        </c:spPr>
        <c:txPr>
          <a:bodyPr/>
          <a:lstStyle/>
          <a:p>
            <a:pPr>
              <a:defRPr sz="1000" b="0">
                <a:solidFill>
                  <a:srgbClr val="263746"/>
                </a:solidFill>
                <a:latin typeface="Arial"/>
              </a:defRPr>
            </a:pPr>
            <a:endParaRPr lang="ru-RU"/>
          </a:p>
        </c:txPr>
        <c:crossAx val="20"/>
        <c:crosses val="autoZero"/>
        <c:crossBetween val="midCat"/>
        <c:majorUnit val="1"/>
      </c:valAx>
      <c:valAx>
        <c:axId val="20"/>
        <c:scaling>
          <c:orientation val="minMax"/>
          <c:max val="15"/>
          <c:min val="0"/>
        </c:scaling>
        <c:delete val="0"/>
        <c:axPos val="l"/>
        <c:majorGridlines>
          <c:spPr>
            <a:ln w="6350">
              <a:solidFill>
                <a:srgbClr val="E4E9EC"/>
              </a:solidFill>
              <a:prstDash val="solid"/>
            </a:ln>
          </c:spPr>
        </c:majorGridlines>
        <c:title>
          <c:tx>
            <c:strRef>
              <c:f>Регрессия_графики!$J$104</c:f>
              <c:strCache>
                <c:ptCount val="1"/>
                <c:pt idx="0">
                  <c:v>ТК1</c:v>
                </c:pt>
              </c:strCache>
            </c:strRef>
          </c:tx>
          <c:overlay val="0"/>
          <c:txPr>
            <a:bodyPr/>
            <a:lstStyle/>
            <a:p>
              <a:pPr>
                <a:defRPr sz="1100" b="1">
                  <a:solidFill>
                    <a:srgbClr val="263746"/>
                  </a:solidFill>
                  <a:latin typeface="Arial"/>
                </a:defRPr>
              </a:pPr>
              <a:endParaRPr lang="ru-RU"/>
            </a:p>
          </c:txPr>
        </c:title>
        <c:numFmt formatCode="0" sourceLinked="0"/>
        <c:majorTickMark val="out"/>
        <c:minorTickMark val="none"/>
        <c:tickLblPos val="low"/>
        <c:spPr>
          <a:ln w="9525">
            <a:solidFill>
              <a:srgbClr val="263746"/>
            </a:solidFill>
            <a:prstDash val="solid"/>
          </a:ln>
        </c:spPr>
        <c:txPr>
          <a:bodyPr/>
          <a:lstStyle/>
          <a:p>
            <a:pPr>
              <a:defRPr sz="1000" b="0">
                <a:solidFill>
                  <a:srgbClr val="263746"/>
                </a:solidFill>
                <a:latin typeface="Arial"/>
              </a:defRPr>
            </a:pPr>
            <a:endParaRPr lang="ru-RU"/>
          </a:p>
        </c:txPr>
        <c:crossAx val="10"/>
        <c:crosses val="autoZero"/>
        <c:crossBetween val="midCat"/>
        <c:majorUnit val="2"/>
      </c:valAx>
      <c:spPr>
        <a:solidFill>
          <a:srgbClr val="FFFFFF"/>
        </a:solidFill>
        <a:ln>
          <a:prstDash val="solid"/>
        </a:ln>
      </c:spPr>
    </c:plotArea>
    <c:legend>
      <c:legendPos val="b"/>
      <c:overlay val="0"/>
      <c:txPr>
        <a:bodyPr/>
        <a:lstStyle/>
        <a:p>
          <a:pPr>
            <a:defRPr sz="950" b="0">
              <a:solidFill>
                <a:srgbClr val="263746"/>
              </a:solidFill>
              <a:latin typeface="Arial"/>
            </a:defRPr>
          </a:pPr>
          <a:endParaRPr lang="ru-RU"/>
        </a:p>
      </c:txPr>
    </c:legend>
    <c:plotVisOnly val="1"/>
    <c:dispBlanksAs val="gap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</xdr:row>
      <xdr:rowOff>0</xdr:rowOff>
    </xdr:from>
    <xdr:ext cx="9286875" cy="51911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</xdr:col>
      <xdr:colOff>0</xdr:colOff>
      <xdr:row>42</xdr:row>
      <xdr:rowOff>0</xdr:rowOff>
    </xdr:from>
    <xdr:ext cx="9286875" cy="5191125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</xdr:col>
      <xdr:colOff>0</xdr:colOff>
      <xdr:row>74</xdr:row>
      <xdr:rowOff>0</xdr:rowOff>
    </xdr:from>
    <xdr:ext cx="9286875" cy="5191125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</xdr:col>
      <xdr:colOff>0</xdr:colOff>
      <xdr:row>106</xdr:row>
      <xdr:rowOff>0</xdr:rowOff>
    </xdr:from>
    <xdr:ext cx="9286875" cy="5191125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1</xdr:col>
      <xdr:colOff>0</xdr:colOff>
      <xdr:row>138</xdr:row>
      <xdr:rowOff>0</xdr:rowOff>
    </xdr:from>
    <xdr:ext cx="9286875" cy="5191125"/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1</xdr:col>
      <xdr:colOff>0</xdr:colOff>
      <xdr:row>170</xdr:row>
      <xdr:rowOff>0</xdr:rowOff>
    </xdr:from>
    <xdr:ext cx="9286875" cy="5191125"/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  <xdr:oneCellAnchor>
    <xdr:from>
      <xdr:col>1</xdr:col>
      <xdr:colOff>0</xdr:colOff>
      <xdr:row>202</xdr:row>
      <xdr:rowOff>0</xdr:rowOff>
    </xdr:from>
    <xdr:ext cx="9286875" cy="5191125"/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oneCellAnchor>
  <xdr:oneCellAnchor>
    <xdr:from>
      <xdr:col>1</xdr:col>
      <xdr:colOff>0</xdr:colOff>
      <xdr:row>234</xdr:row>
      <xdr:rowOff>0</xdr:rowOff>
    </xdr:from>
    <xdr:ext cx="9286875" cy="5191125"/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</xdr:row>
      <xdr:rowOff>0</xdr:rowOff>
    </xdr:from>
    <xdr:ext cx="9286875" cy="51911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</xdr:col>
      <xdr:colOff>0</xdr:colOff>
      <xdr:row>42</xdr:row>
      <xdr:rowOff>0</xdr:rowOff>
    </xdr:from>
    <xdr:ext cx="9286875" cy="5191125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</xdr:col>
      <xdr:colOff>0</xdr:colOff>
      <xdr:row>74</xdr:row>
      <xdr:rowOff>0</xdr:rowOff>
    </xdr:from>
    <xdr:ext cx="9286875" cy="5191125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</xdr:col>
      <xdr:colOff>0</xdr:colOff>
      <xdr:row>106</xdr:row>
      <xdr:rowOff>0</xdr:rowOff>
    </xdr:from>
    <xdr:ext cx="9286875" cy="5191125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518FAB3-FBA5-4F23-92F6-79BD6D3F8A08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8709e741-1e0a-4758-a81c-5a4e46fdce99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5"/>
  <sheetViews>
    <sheetView workbookViewId="0">
      <pane ySplit="1" topLeftCell="A2" activePane="bottomLeft" state="frozen"/>
      <selection pane="bottomLeft"/>
    </sheetView>
    <sheetView workbookViewId="1"/>
  </sheetViews>
  <sheetFormatPr defaultColWidth="8.85546875" defaultRowHeight="15" x14ac:dyDescent="0.25"/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3</v>
      </c>
      <c r="B2" s="2">
        <v>1</v>
      </c>
      <c r="C2" s="2">
        <v>13</v>
      </c>
      <c r="D2" s="2">
        <v>31</v>
      </c>
      <c r="E2" s="2">
        <v>13</v>
      </c>
      <c r="F2" s="2">
        <v>7</v>
      </c>
      <c r="G2" s="2">
        <v>10</v>
      </c>
      <c r="H2" s="2">
        <v>2</v>
      </c>
      <c r="I2" s="2">
        <v>3</v>
      </c>
      <c r="J2" s="2">
        <v>8</v>
      </c>
    </row>
    <row r="3" spans="1:10" x14ac:dyDescent="0.25">
      <c r="A3" s="2">
        <v>9</v>
      </c>
      <c r="B3" s="2">
        <v>2</v>
      </c>
      <c r="C3" s="2">
        <v>8</v>
      </c>
      <c r="D3" s="2">
        <v>31</v>
      </c>
      <c r="E3" s="2">
        <v>12</v>
      </c>
      <c r="F3" s="2">
        <v>5</v>
      </c>
      <c r="G3" s="2">
        <v>9</v>
      </c>
      <c r="H3" s="2">
        <v>8</v>
      </c>
      <c r="I3" s="2">
        <v>1</v>
      </c>
      <c r="J3" s="2">
        <v>7</v>
      </c>
    </row>
    <row r="4" spans="1:10" x14ac:dyDescent="0.25">
      <c r="A4" s="2">
        <v>15</v>
      </c>
      <c r="B4" s="2">
        <v>2</v>
      </c>
      <c r="C4" s="2">
        <v>18</v>
      </c>
      <c r="D4" s="2">
        <v>23</v>
      </c>
      <c r="E4" s="2">
        <v>13</v>
      </c>
      <c r="F4" s="2">
        <v>3</v>
      </c>
      <c r="G4" s="2">
        <v>10</v>
      </c>
      <c r="H4" s="2">
        <v>6</v>
      </c>
      <c r="I4" s="2">
        <v>4</v>
      </c>
      <c r="J4" s="2">
        <v>7</v>
      </c>
    </row>
    <row r="5" spans="1:10" x14ac:dyDescent="0.25">
      <c r="A5" s="2">
        <v>19</v>
      </c>
      <c r="B5" s="2">
        <v>2</v>
      </c>
      <c r="C5" s="2">
        <v>12</v>
      </c>
      <c r="D5" s="2">
        <v>25</v>
      </c>
      <c r="E5" s="2">
        <v>14</v>
      </c>
      <c r="F5" s="2">
        <v>6</v>
      </c>
      <c r="G5" s="2">
        <v>9</v>
      </c>
      <c r="H5" s="2">
        <v>4</v>
      </c>
      <c r="I5" s="2">
        <v>2</v>
      </c>
      <c r="J5" s="2">
        <v>9</v>
      </c>
    </row>
    <row r="6" spans="1:10" x14ac:dyDescent="0.25">
      <c r="A6" s="2">
        <v>22</v>
      </c>
      <c r="B6" s="2">
        <v>1</v>
      </c>
      <c r="C6" s="2">
        <v>11</v>
      </c>
      <c r="D6" s="2">
        <v>30</v>
      </c>
      <c r="E6" s="2">
        <v>16</v>
      </c>
      <c r="F6" s="2">
        <v>3</v>
      </c>
      <c r="G6" s="2">
        <v>10</v>
      </c>
      <c r="H6" s="2">
        <v>3</v>
      </c>
      <c r="I6" s="2">
        <v>5</v>
      </c>
      <c r="J6" s="2">
        <v>9</v>
      </c>
    </row>
    <row r="7" spans="1:10" x14ac:dyDescent="0.25">
      <c r="A7" s="2">
        <v>47</v>
      </c>
      <c r="B7" s="2">
        <v>1</v>
      </c>
      <c r="C7" s="2">
        <v>16</v>
      </c>
      <c r="D7" s="2">
        <v>28</v>
      </c>
      <c r="E7" s="2">
        <v>21</v>
      </c>
      <c r="F7" s="2">
        <v>6</v>
      </c>
      <c r="G7" s="2">
        <v>9</v>
      </c>
      <c r="H7" s="2">
        <v>5</v>
      </c>
      <c r="I7" s="2">
        <v>3</v>
      </c>
      <c r="J7" s="2">
        <v>7</v>
      </c>
    </row>
    <row r="8" spans="1:10" x14ac:dyDescent="0.25">
      <c r="A8" s="2">
        <v>51</v>
      </c>
      <c r="B8" s="2">
        <v>1</v>
      </c>
      <c r="C8" s="2">
        <v>20</v>
      </c>
      <c r="D8" s="2">
        <v>35</v>
      </c>
      <c r="E8" s="2">
        <v>18</v>
      </c>
      <c r="F8" s="2">
        <v>7</v>
      </c>
      <c r="G8" s="2">
        <v>5</v>
      </c>
      <c r="H8" s="2">
        <v>3</v>
      </c>
      <c r="I8" s="2">
        <v>11</v>
      </c>
      <c r="J8" s="2">
        <v>4</v>
      </c>
    </row>
    <row r="9" spans="1:10" x14ac:dyDescent="0.25">
      <c r="A9" s="2">
        <v>56</v>
      </c>
      <c r="B9" s="2">
        <v>2</v>
      </c>
      <c r="C9" s="2">
        <v>17</v>
      </c>
      <c r="D9" s="2">
        <v>33</v>
      </c>
      <c r="E9" s="2">
        <v>21</v>
      </c>
      <c r="F9" s="2">
        <v>3</v>
      </c>
      <c r="G9" s="2">
        <v>9</v>
      </c>
      <c r="H9" s="2">
        <v>4</v>
      </c>
      <c r="I9" s="2">
        <v>6</v>
      </c>
      <c r="J9" s="2">
        <v>8</v>
      </c>
    </row>
    <row r="10" spans="1:10" x14ac:dyDescent="0.25">
      <c r="A10" s="2">
        <v>88</v>
      </c>
      <c r="B10" s="2">
        <v>2</v>
      </c>
      <c r="C10" s="2">
        <v>21</v>
      </c>
      <c r="D10" s="2">
        <v>25</v>
      </c>
      <c r="E10" s="2">
        <v>17</v>
      </c>
      <c r="F10" s="2">
        <v>6</v>
      </c>
      <c r="G10" s="2">
        <v>8</v>
      </c>
      <c r="H10" s="2">
        <v>7</v>
      </c>
      <c r="I10" s="2">
        <v>5</v>
      </c>
      <c r="J10" s="2">
        <v>4</v>
      </c>
    </row>
    <row r="11" spans="1:10" x14ac:dyDescent="0.25">
      <c r="A11" s="2">
        <v>107</v>
      </c>
      <c r="B11" s="2">
        <v>1</v>
      </c>
      <c r="C11" s="2">
        <v>28</v>
      </c>
      <c r="D11" s="2">
        <v>24</v>
      </c>
      <c r="E11" s="2">
        <v>16</v>
      </c>
      <c r="F11" s="2">
        <v>8</v>
      </c>
      <c r="G11" s="2">
        <v>8</v>
      </c>
      <c r="H11" s="2">
        <v>1</v>
      </c>
      <c r="I11" s="2">
        <v>6</v>
      </c>
      <c r="J11" s="2">
        <v>7</v>
      </c>
    </row>
    <row r="12" spans="1:10" x14ac:dyDescent="0.25">
      <c r="A12" s="2">
        <v>82</v>
      </c>
      <c r="B12" s="2">
        <v>2</v>
      </c>
      <c r="C12" s="2">
        <v>19</v>
      </c>
      <c r="D12" s="2">
        <v>20</v>
      </c>
      <c r="E12" s="2">
        <v>22</v>
      </c>
      <c r="F12" s="2">
        <v>7</v>
      </c>
      <c r="G12" s="2">
        <v>7</v>
      </c>
      <c r="H12" s="2">
        <v>2</v>
      </c>
      <c r="I12" s="2">
        <v>6</v>
      </c>
      <c r="J12" s="2">
        <v>8</v>
      </c>
    </row>
    <row r="13" spans="1:10" x14ac:dyDescent="0.25">
      <c r="A13" s="2">
        <v>50</v>
      </c>
      <c r="B13" s="2">
        <v>1</v>
      </c>
      <c r="C13" s="2">
        <v>14</v>
      </c>
      <c r="D13" s="2">
        <v>26</v>
      </c>
      <c r="E13" s="2">
        <v>22</v>
      </c>
      <c r="F13" s="2">
        <v>7</v>
      </c>
      <c r="G13" s="2">
        <v>7</v>
      </c>
      <c r="H13" s="2">
        <v>6</v>
      </c>
      <c r="I13" s="2">
        <v>2</v>
      </c>
      <c r="J13" s="2">
        <v>8</v>
      </c>
    </row>
    <row r="14" spans="1:10" x14ac:dyDescent="0.25">
      <c r="A14" s="2">
        <v>38</v>
      </c>
      <c r="B14" s="2">
        <v>1</v>
      </c>
      <c r="C14" s="2">
        <v>13</v>
      </c>
      <c r="D14" s="2">
        <v>30</v>
      </c>
      <c r="E14" s="2">
        <v>18</v>
      </c>
      <c r="F14" s="2">
        <v>6</v>
      </c>
      <c r="G14" s="2">
        <v>9</v>
      </c>
      <c r="H14" s="2">
        <v>3</v>
      </c>
      <c r="I14" s="2">
        <v>3</v>
      </c>
      <c r="J14" s="2">
        <v>9</v>
      </c>
    </row>
    <row r="15" spans="1:10" x14ac:dyDescent="0.25">
      <c r="A15" s="2">
        <v>103</v>
      </c>
      <c r="B15" s="2">
        <v>2</v>
      </c>
      <c r="C15" s="2">
        <v>16</v>
      </c>
      <c r="D15" s="2">
        <v>24</v>
      </c>
      <c r="E15" s="2">
        <v>17</v>
      </c>
      <c r="F15" s="2">
        <v>5</v>
      </c>
      <c r="G15" s="2">
        <v>6</v>
      </c>
      <c r="H15" s="2">
        <v>6</v>
      </c>
      <c r="I15" s="2">
        <v>6</v>
      </c>
      <c r="J15" s="2">
        <v>7</v>
      </c>
    </row>
    <row r="16" spans="1:10" x14ac:dyDescent="0.25">
      <c r="A16" s="2">
        <v>65</v>
      </c>
      <c r="B16" s="2">
        <v>2</v>
      </c>
      <c r="C16" s="2">
        <v>23</v>
      </c>
      <c r="D16" s="2">
        <v>23</v>
      </c>
      <c r="E16" s="2">
        <v>18</v>
      </c>
      <c r="F16" s="2">
        <v>7</v>
      </c>
      <c r="G16" s="2">
        <v>7</v>
      </c>
      <c r="H16" s="2">
        <v>1</v>
      </c>
      <c r="I16" s="2">
        <v>9</v>
      </c>
      <c r="J16" s="2">
        <v>6</v>
      </c>
    </row>
    <row r="17" spans="1:10" x14ac:dyDescent="0.25">
      <c r="A17" s="2">
        <v>79</v>
      </c>
      <c r="B17" s="2">
        <v>2</v>
      </c>
      <c r="C17" s="2">
        <v>19</v>
      </c>
      <c r="D17" s="2">
        <v>23</v>
      </c>
      <c r="E17" s="2">
        <v>24</v>
      </c>
      <c r="F17" s="2">
        <v>8</v>
      </c>
      <c r="G17" s="2">
        <v>11</v>
      </c>
      <c r="H17" s="2">
        <v>0</v>
      </c>
      <c r="I17" s="2">
        <v>4</v>
      </c>
      <c r="J17" s="2">
        <v>7</v>
      </c>
    </row>
    <row r="18" spans="1:10" x14ac:dyDescent="0.25">
      <c r="A18" s="2">
        <v>101</v>
      </c>
      <c r="B18" s="2">
        <v>2</v>
      </c>
      <c r="C18" s="2">
        <v>27</v>
      </c>
      <c r="D18" s="2">
        <v>31</v>
      </c>
      <c r="E18" s="2">
        <v>16</v>
      </c>
      <c r="F18" s="2">
        <v>6</v>
      </c>
      <c r="G18" s="2">
        <v>10</v>
      </c>
      <c r="H18" s="2">
        <v>2</v>
      </c>
      <c r="I18" s="2">
        <v>5</v>
      </c>
      <c r="J18" s="2">
        <v>7</v>
      </c>
    </row>
    <row r="19" spans="1:10" x14ac:dyDescent="0.25">
      <c r="A19" s="2">
        <v>129</v>
      </c>
      <c r="B19" s="2">
        <v>2</v>
      </c>
      <c r="C19" s="2">
        <v>18</v>
      </c>
      <c r="D19" s="2">
        <v>24</v>
      </c>
      <c r="E19" s="2">
        <v>15</v>
      </c>
      <c r="F19" s="2">
        <v>7</v>
      </c>
      <c r="G19" s="2">
        <v>6</v>
      </c>
      <c r="H19" s="2">
        <v>5</v>
      </c>
      <c r="I19" s="2">
        <v>8</v>
      </c>
      <c r="J19" s="2">
        <v>4</v>
      </c>
    </row>
    <row r="20" spans="1:10" x14ac:dyDescent="0.25">
      <c r="A20" s="2">
        <v>106</v>
      </c>
      <c r="B20" s="2">
        <v>2</v>
      </c>
      <c r="C20" s="2">
        <v>25</v>
      </c>
      <c r="D20" s="2">
        <v>22</v>
      </c>
      <c r="E20" s="2">
        <v>18</v>
      </c>
      <c r="F20" s="2">
        <v>8</v>
      </c>
      <c r="G20" s="2">
        <v>9</v>
      </c>
      <c r="H20" s="2">
        <v>1</v>
      </c>
      <c r="I20" s="2">
        <v>4</v>
      </c>
      <c r="J20" s="2">
        <v>8</v>
      </c>
    </row>
    <row r="21" spans="1:10" x14ac:dyDescent="0.25">
      <c r="A21" s="2">
        <v>11</v>
      </c>
      <c r="B21" s="2">
        <v>4</v>
      </c>
      <c r="C21" s="2">
        <v>19</v>
      </c>
      <c r="D21" s="2">
        <v>25</v>
      </c>
      <c r="E21" s="2">
        <v>15</v>
      </c>
      <c r="F21" s="2">
        <v>5</v>
      </c>
      <c r="G21" s="2">
        <v>5</v>
      </c>
      <c r="H21" s="2">
        <v>4</v>
      </c>
      <c r="I21" s="2">
        <v>9</v>
      </c>
      <c r="J21" s="2">
        <v>7</v>
      </c>
    </row>
    <row r="22" spans="1:10" x14ac:dyDescent="0.25">
      <c r="A22" s="2">
        <v>13</v>
      </c>
      <c r="B22" s="2">
        <v>3</v>
      </c>
      <c r="C22" s="2">
        <v>9</v>
      </c>
      <c r="D22" s="2">
        <v>35</v>
      </c>
      <c r="E22" s="2">
        <v>15</v>
      </c>
      <c r="F22" s="2">
        <v>6</v>
      </c>
      <c r="G22" s="2">
        <v>6</v>
      </c>
      <c r="H22" s="2">
        <v>11</v>
      </c>
      <c r="I22" s="2">
        <v>1</v>
      </c>
      <c r="J22" s="2">
        <v>6</v>
      </c>
    </row>
    <row r="23" spans="1:10" x14ac:dyDescent="0.25">
      <c r="A23" s="2">
        <v>20</v>
      </c>
      <c r="B23" s="2">
        <v>3</v>
      </c>
      <c r="C23" s="2">
        <v>8</v>
      </c>
      <c r="D23" s="2">
        <v>25</v>
      </c>
      <c r="E23" s="2">
        <v>16</v>
      </c>
      <c r="F23" s="2">
        <v>5</v>
      </c>
      <c r="G23" s="2">
        <v>11</v>
      </c>
      <c r="H23" s="2">
        <v>7</v>
      </c>
      <c r="I23" s="2">
        <v>1</v>
      </c>
      <c r="J23" s="2">
        <v>6</v>
      </c>
    </row>
    <row r="24" spans="1:10" x14ac:dyDescent="0.25">
      <c r="A24" s="2">
        <v>23</v>
      </c>
      <c r="B24" s="2">
        <v>3</v>
      </c>
      <c r="C24" s="2">
        <v>15</v>
      </c>
      <c r="D24" s="2">
        <v>26</v>
      </c>
      <c r="E24" s="2">
        <v>21</v>
      </c>
      <c r="F24" s="2">
        <v>6</v>
      </c>
      <c r="G24" s="2">
        <v>8</v>
      </c>
      <c r="H24" s="2">
        <v>7</v>
      </c>
      <c r="I24" s="2">
        <v>0</v>
      </c>
      <c r="J24" s="2">
        <v>9</v>
      </c>
    </row>
    <row r="25" spans="1:10" x14ac:dyDescent="0.25">
      <c r="A25" s="2">
        <v>26</v>
      </c>
      <c r="B25" s="2">
        <v>3</v>
      </c>
      <c r="C25" s="2">
        <v>12</v>
      </c>
      <c r="D25" s="2">
        <v>24</v>
      </c>
      <c r="E25" s="2">
        <v>20</v>
      </c>
      <c r="F25" s="2">
        <v>8</v>
      </c>
      <c r="G25" s="2">
        <v>10</v>
      </c>
      <c r="H25" s="2">
        <v>6</v>
      </c>
      <c r="I25" s="2">
        <v>5</v>
      </c>
      <c r="J25" s="2">
        <v>1</v>
      </c>
    </row>
    <row r="26" spans="1:10" x14ac:dyDescent="0.25">
      <c r="A26" s="2">
        <v>28</v>
      </c>
      <c r="B26" s="2">
        <v>3</v>
      </c>
      <c r="C26" s="2">
        <v>18</v>
      </c>
      <c r="D26" s="2">
        <v>27</v>
      </c>
      <c r="E26" s="2">
        <v>14</v>
      </c>
      <c r="F26" s="2">
        <v>2</v>
      </c>
      <c r="G26" s="2">
        <v>11</v>
      </c>
      <c r="H26" s="2">
        <v>4</v>
      </c>
      <c r="I26" s="2">
        <v>7</v>
      </c>
      <c r="J26" s="2">
        <v>6</v>
      </c>
    </row>
    <row r="27" spans="1:10" x14ac:dyDescent="0.25">
      <c r="A27" s="2">
        <v>31</v>
      </c>
      <c r="B27" s="2">
        <v>3</v>
      </c>
      <c r="C27" s="2">
        <v>16</v>
      </c>
      <c r="D27" s="2">
        <v>28</v>
      </c>
      <c r="E27" s="2">
        <v>15</v>
      </c>
      <c r="F27" s="2">
        <v>6</v>
      </c>
      <c r="G27" s="2">
        <v>6</v>
      </c>
      <c r="H27" s="2">
        <v>6</v>
      </c>
      <c r="I27" s="2">
        <v>6</v>
      </c>
      <c r="J27" s="2">
        <v>6</v>
      </c>
    </row>
    <row r="28" spans="1:10" x14ac:dyDescent="0.25">
      <c r="A28" s="2">
        <v>36</v>
      </c>
      <c r="B28" s="2">
        <v>3</v>
      </c>
      <c r="C28" s="2">
        <v>14</v>
      </c>
      <c r="D28" s="2">
        <v>29</v>
      </c>
      <c r="E28" s="2">
        <v>14</v>
      </c>
      <c r="F28" s="2">
        <v>5</v>
      </c>
      <c r="G28" s="2">
        <v>10</v>
      </c>
      <c r="H28" s="2">
        <v>7</v>
      </c>
      <c r="I28" s="2">
        <v>0</v>
      </c>
      <c r="J28" s="2">
        <v>8</v>
      </c>
    </row>
    <row r="29" spans="1:10" x14ac:dyDescent="0.25">
      <c r="A29" s="2">
        <v>37</v>
      </c>
      <c r="B29" s="2">
        <v>3</v>
      </c>
      <c r="C29" s="2">
        <v>14</v>
      </c>
      <c r="D29" s="2">
        <v>26</v>
      </c>
      <c r="E29" s="2">
        <v>18</v>
      </c>
      <c r="F29" s="2">
        <v>7</v>
      </c>
      <c r="G29" s="2">
        <v>8</v>
      </c>
      <c r="H29" s="2">
        <v>5</v>
      </c>
      <c r="I29" s="2">
        <v>3</v>
      </c>
      <c r="J29" s="2">
        <v>7</v>
      </c>
    </row>
    <row r="30" spans="1:10" x14ac:dyDescent="0.25">
      <c r="A30" s="2">
        <v>39</v>
      </c>
      <c r="B30" s="2">
        <v>3</v>
      </c>
      <c r="C30" s="2">
        <v>5</v>
      </c>
      <c r="D30" s="2">
        <v>27</v>
      </c>
      <c r="E30" s="2">
        <v>18</v>
      </c>
      <c r="F30" s="2">
        <v>9</v>
      </c>
      <c r="G30" s="2">
        <v>6</v>
      </c>
      <c r="H30" s="2">
        <v>7</v>
      </c>
      <c r="I30" s="2">
        <v>2</v>
      </c>
      <c r="J30" s="2">
        <v>6</v>
      </c>
    </row>
    <row r="31" spans="1:10" x14ac:dyDescent="0.25">
      <c r="A31" s="2">
        <v>41</v>
      </c>
      <c r="B31" s="2">
        <v>4</v>
      </c>
      <c r="C31" s="2">
        <v>15</v>
      </c>
      <c r="D31" s="2">
        <v>32</v>
      </c>
      <c r="E31" s="2">
        <v>16</v>
      </c>
      <c r="F31" s="2">
        <v>6</v>
      </c>
      <c r="G31" s="2">
        <v>10</v>
      </c>
      <c r="H31" s="2">
        <v>3</v>
      </c>
      <c r="I31" s="2">
        <v>3</v>
      </c>
      <c r="J31" s="2">
        <v>8</v>
      </c>
    </row>
    <row r="32" spans="1:10" x14ac:dyDescent="0.25">
      <c r="A32" s="2">
        <v>42</v>
      </c>
      <c r="B32" s="2">
        <v>3</v>
      </c>
      <c r="C32" s="2">
        <v>14</v>
      </c>
      <c r="D32" s="2">
        <v>26</v>
      </c>
      <c r="E32" s="2">
        <v>14</v>
      </c>
      <c r="F32" s="2">
        <v>7</v>
      </c>
      <c r="G32" s="2">
        <v>8</v>
      </c>
      <c r="H32" s="2">
        <v>4</v>
      </c>
      <c r="I32" s="2">
        <v>7</v>
      </c>
      <c r="J32" s="2">
        <v>4</v>
      </c>
    </row>
    <row r="33" spans="1:10" x14ac:dyDescent="0.25">
      <c r="A33" s="2">
        <v>45</v>
      </c>
      <c r="B33" s="2">
        <v>3</v>
      </c>
      <c r="C33" s="2">
        <v>28</v>
      </c>
      <c r="D33" s="2">
        <v>27</v>
      </c>
      <c r="E33" s="2">
        <v>18</v>
      </c>
      <c r="F33" s="2">
        <v>5</v>
      </c>
      <c r="G33" s="2">
        <v>5</v>
      </c>
      <c r="H33" s="2">
        <v>4</v>
      </c>
      <c r="I33" s="2">
        <v>7</v>
      </c>
      <c r="J33" s="2">
        <v>9</v>
      </c>
    </row>
    <row r="34" spans="1:10" x14ac:dyDescent="0.25">
      <c r="A34" s="2">
        <v>49</v>
      </c>
      <c r="B34" s="2">
        <v>3</v>
      </c>
      <c r="C34" s="2">
        <v>17</v>
      </c>
      <c r="D34" s="2">
        <v>30</v>
      </c>
      <c r="E34" s="2">
        <v>20</v>
      </c>
      <c r="F34" s="2">
        <v>6</v>
      </c>
      <c r="G34" s="2">
        <v>8</v>
      </c>
      <c r="H34" s="2">
        <v>5</v>
      </c>
      <c r="I34" s="2">
        <v>3</v>
      </c>
      <c r="J34" s="2">
        <v>8</v>
      </c>
    </row>
    <row r="35" spans="1:10" x14ac:dyDescent="0.25">
      <c r="A35" s="2">
        <v>53</v>
      </c>
      <c r="B35" s="2">
        <v>3</v>
      </c>
      <c r="C35" s="2">
        <v>8</v>
      </c>
      <c r="D35" s="2">
        <v>27</v>
      </c>
      <c r="E35" s="2">
        <v>13</v>
      </c>
      <c r="F35" s="2">
        <v>3</v>
      </c>
      <c r="G35" s="2">
        <v>8</v>
      </c>
      <c r="H35" s="2">
        <v>6</v>
      </c>
      <c r="I35" s="2">
        <v>3</v>
      </c>
      <c r="J35" s="2">
        <v>10</v>
      </c>
    </row>
    <row r="36" spans="1:10" x14ac:dyDescent="0.25">
      <c r="A36" s="2">
        <v>54</v>
      </c>
      <c r="B36" s="2">
        <v>4</v>
      </c>
      <c r="C36" s="2">
        <v>14</v>
      </c>
      <c r="D36" s="2">
        <v>28</v>
      </c>
      <c r="E36" s="2">
        <v>12</v>
      </c>
      <c r="F36" s="2">
        <v>7</v>
      </c>
      <c r="G36" s="2">
        <v>9</v>
      </c>
      <c r="H36" s="2">
        <v>6</v>
      </c>
      <c r="I36" s="2">
        <v>2</v>
      </c>
      <c r="J36" s="2">
        <v>6</v>
      </c>
    </row>
    <row r="37" spans="1:10" x14ac:dyDescent="0.25">
      <c r="A37" s="2">
        <v>55</v>
      </c>
      <c r="B37" s="2">
        <v>3</v>
      </c>
      <c r="C37" s="2">
        <v>13</v>
      </c>
      <c r="D37" s="2">
        <v>31</v>
      </c>
      <c r="E37" s="2">
        <v>13</v>
      </c>
      <c r="F37" s="2">
        <v>2</v>
      </c>
      <c r="G37" s="2">
        <v>8</v>
      </c>
      <c r="H37" s="2">
        <v>6</v>
      </c>
      <c r="I37" s="2">
        <v>7</v>
      </c>
      <c r="J37" s="2">
        <v>7</v>
      </c>
    </row>
    <row r="38" spans="1:10" x14ac:dyDescent="0.25">
      <c r="A38" s="2">
        <v>58</v>
      </c>
      <c r="B38" s="2">
        <v>3</v>
      </c>
      <c r="C38" s="2">
        <v>20</v>
      </c>
      <c r="D38" s="2">
        <v>25</v>
      </c>
      <c r="E38" s="2">
        <v>16</v>
      </c>
      <c r="F38" s="2">
        <v>4</v>
      </c>
      <c r="G38" s="2">
        <v>6</v>
      </c>
      <c r="H38" s="2">
        <v>4</v>
      </c>
      <c r="I38" s="2">
        <v>10</v>
      </c>
      <c r="J38" s="2">
        <v>6</v>
      </c>
    </row>
    <row r="39" spans="1:10" x14ac:dyDescent="0.25">
      <c r="A39" s="2">
        <v>67</v>
      </c>
      <c r="B39" s="2">
        <v>4</v>
      </c>
      <c r="C39" s="2">
        <v>18</v>
      </c>
      <c r="D39" s="2">
        <v>25</v>
      </c>
      <c r="E39" s="2">
        <v>14</v>
      </c>
      <c r="F39" s="2">
        <v>2</v>
      </c>
      <c r="G39" s="2">
        <v>7</v>
      </c>
      <c r="H39" s="2">
        <v>3</v>
      </c>
      <c r="I39" s="2">
        <v>9</v>
      </c>
      <c r="J39" s="2">
        <v>9</v>
      </c>
    </row>
    <row r="40" spans="1:10" x14ac:dyDescent="0.25">
      <c r="A40" s="2">
        <v>74</v>
      </c>
      <c r="B40" s="2">
        <v>3</v>
      </c>
      <c r="C40" s="2">
        <v>16</v>
      </c>
      <c r="D40" s="2">
        <v>26</v>
      </c>
      <c r="E40" s="2">
        <v>24</v>
      </c>
      <c r="F40" s="2">
        <v>8</v>
      </c>
      <c r="G40" s="2">
        <v>7</v>
      </c>
      <c r="H40" s="2">
        <v>6</v>
      </c>
      <c r="I40" s="2">
        <v>1</v>
      </c>
      <c r="J40" s="2">
        <v>8</v>
      </c>
    </row>
    <row r="41" spans="1:10" x14ac:dyDescent="0.25">
      <c r="A41" s="2">
        <v>80</v>
      </c>
      <c r="B41" s="2">
        <v>4</v>
      </c>
      <c r="C41" s="2">
        <v>11</v>
      </c>
      <c r="D41" s="2">
        <v>24</v>
      </c>
      <c r="E41" s="2">
        <v>15</v>
      </c>
      <c r="F41" s="2">
        <v>6</v>
      </c>
      <c r="G41" s="2">
        <v>11</v>
      </c>
      <c r="H41" s="2">
        <v>2</v>
      </c>
      <c r="I41" s="2">
        <v>7</v>
      </c>
      <c r="J41" s="2">
        <v>4</v>
      </c>
    </row>
    <row r="42" spans="1:10" x14ac:dyDescent="0.25">
      <c r="A42" s="2">
        <v>87</v>
      </c>
      <c r="B42" s="2">
        <v>3</v>
      </c>
      <c r="C42" s="2">
        <v>16</v>
      </c>
      <c r="D42" s="2">
        <v>25</v>
      </c>
      <c r="E42" s="2">
        <v>18</v>
      </c>
      <c r="F42" s="2">
        <v>5</v>
      </c>
      <c r="G42" s="2">
        <v>8</v>
      </c>
      <c r="H42" s="2">
        <v>5</v>
      </c>
      <c r="I42" s="2">
        <v>5</v>
      </c>
      <c r="J42" s="2">
        <v>7</v>
      </c>
    </row>
    <row r="43" spans="1:10" x14ac:dyDescent="0.25">
      <c r="A43" s="2">
        <v>89</v>
      </c>
      <c r="B43" s="2">
        <v>4</v>
      </c>
      <c r="C43" s="2">
        <v>14</v>
      </c>
      <c r="D43" s="2">
        <v>33</v>
      </c>
      <c r="E43" s="2">
        <v>12</v>
      </c>
      <c r="F43" s="2">
        <v>3</v>
      </c>
      <c r="G43" s="2">
        <v>10</v>
      </c>
      <c r="H43" s="2">
        <v>4</v>
      </c>
      <c r="I43" s="2">
        <v>4</v>
      </c>
      <c r="J43" s="2">
        <v>9</v>
      </c>
    </row>
    <row r="44" spans="1:10" x14ac:dyDescent="0.25">
      <c r="A44" s="2">
        <v>90</v>
      </c>
      <c r="B44" s="2">
        <v>3</v>
      </c>
      <c r="C44" s="2">
        <v>7</v>
      </c>
      <c r="D44" s="2">
        <v>29</v>
      </c>
      <c r="E44" s="2">
        <v>18</v>
      </c>
      <c r="F44" s="2">
        <v>8</v>
      </c>
      <c r="G44" s="2">
        <v>9</v>
      </c>
      <c r="H44" s="2">
        <v>5</v>
      </c>
      <c r="I44" s="2">
        <v>3</v>
      </c>
      <c r="J44" s="2">
        <v>5</v>
      </c>
    </row>
    <row r="45" spans="1:10" x14ac:dyDescent="0.25">
      <c r="A45" s="2">
        <v>96</v>
      </c>
      <c r="B45" s="2">
        <v>3</v>
      </c>
      <c r="C45" s="2">
        <v>14</v>
      </c>
      <c r="D45" s="2">
        <v>35</v>
      </c>
      <c r="E45" s="2">
        <v>15</v>
      </c>
      <c r="F45" s="2">
        <v>6</v>
      </c>
      <c r="G45" s="2">
        <v>8</v>
      </c>
      <c r="H45" s="2">
        <v>5</v>
      </c>
      <c r="I45" s="2">
        <v>4</v>
      </c>
      <c r="J45" s="2">
        <v>7</v>
      </c>
    </row>
    <row r="46" spans="1:10" x14ac:dyDescent="0.25">
      <c r="A46" s="2">
        <v>100</v>
      </c>
      <c r="B46" s="2">
        <v>4</v>
      </c>
      <c r="C46" s="2">
        <v>15</v>
      </c>
      <c r="D46" s="2">
        <v>29</v>
      </c>
      <c r="E46" s="2">
        <v>17</v>
      </c>
      <c r="F46" s="2">
        <v>6</v>
      </c>
      <c r="G46" s="2">
        <v>9</v>
      </c>
      <c r="H46" s="2">
        <v>2</v>
      </c>
      <c r="I46" s="2">
        <v>5</v>
      </c>
      <c r="J46" s="2">
        <v>8</v>
      </c>
    </row>
    <row r="47" spans="1:10" x14ac:dyDescent="0.25">
      <c r="A47" s="2">
        <v>104</v>
      </c>
      <c r="B47" s="2">
        <v>3</v>
      </c>
      <c r="C47" s="2">
        <v>14</v>
      </c>
      <c r="D47" s="2">
        <v>28</v>
      </c>
      <c r="E47" s="2">
        <v>12</v>
      </c>
      <c r="F47" s="2">
        <v>5</v>
      </c>
      <c r="G47" s="2">
        <v>8</v>
      </c>
      <c r="H47" s="2">
        <v>4</v>
      </c>
      <c r="I47" s="2">
        <v>8</v>
      </c>
      <c r="J47" s="2">
        <v>5</v>
      </c>
    </row>
    <row r="48" spans="1:10" x14ac:dyDescent="0.25">
      <c r="A48" s="2">
        <v>108</v>
      </c>
      <c r="B48" s="2">
        <v>4</v>
      </c>
      <c r="C48" s="2">
        <v>14</v>
      </c>
      <c r="D48" s="2">
        <v>28</v>
      </c>
      <c r="E48" s="2">
        <v>16</v>
      </c>
      <c r="F48" s="2">
        <v>8</v>
      </c>
      <c r="G48" s="2">
        <v>8</v>
      </c>
      <c r="H48" s="2">
        <v>5</v>
      </c>
      <c r="I48" s="2">
        <v>2</v>
      </c>
      <c r="J48" s="2">
        <v>7</v>
      </c>
    </row>
    <row r="49" spans="1:10" x14ac:dyDescent="0.25">
      <c r="A49" s="2">
        <v>123</v>
      </c>
      <c r="B49" s="2">
        <v>3</v>
      </c>
      <c r="C49" s="2">
        <v>7</v>
      </c>
      <c r="D49" s="2">
        <v>30</v>
      </c>
      <c r="E49" s="2">
        <v>9</v>
      </c>
      <c r="F49" s="2">
        <v>6</v>
      </c>
      <c r="G49" s="2">
        <v>9</v>
      </c>
      <c r="H49" s="2">
        <v>6</v>
      </c>
      <c r="I49" s="2">
        <v>3</v>
      </c>
      <c r="J49" s="2">
        <v>6</v>
      </c>
    </row>
    <row r="50" spans="1:10" x14ac:dyDescent="0.25">
      <c r="A50" s="2">
        <v>124</v>
      </c>
      <c r="B50" s="2">
        <v>3</v>
      </c>
      <c r="C50" s="2">
        <v>14</v>
      </c>
      <c r="D50" s="2">
        <v>27</v>
      </c>
      <c r="E50" s="2">
        <v>16</v>
      </c>
      <c r="F50" s="2">
        <v>3</v>
      </c>
      <c r="G50" s="2">
        <v>6</v>
      </c>
      <c r="H50" s="2">
        <v>11</v>
      </c>
      <c r="I50" s="2">
        <v>6</v>
      </c>
      <c r="J50" s="2">
        <v>4</v>
      </c>
    </row>
    <row r="51" spans="1:10" x14ac:dyDescent="0.25">
      <c r="A51" s="2">
        <v>128</v>
      </c>
      <c r="B51" s="2">
        <v>3</v>
      </c>
      <c r="C51" s="2">
        <v>10</v>
      </c>
      <c r="D51" s="2">
        <v>26</v>
      </c>
      <c r="E51" s="2">
        <v>19</v>
      </c>
      <c r="F51" s="2">
        <v>7</v>
      </c>
      <c r="G51" s="2">
        <v>10</v>
      </c>
      <c r="H51" s="2">
        <v>5</v>
      </c>
      <c r="I51" s="2">
        <v>1</v>
      </c>
      <c r="J51" s="2">
        <v>7</v>
      </c>
    </row>
    <row r="52" spans="1:10" x14ac:dyDescent="0.25">
      <c r="A52" s="2">
        <v>130</v>
      </c>
      <c r="B52" s="2">
        <v>3</v>
      </c>
      <c r="C52" s="2">
        <v>13</v>
      </c>
      <c r="D52" s="2">
        <v>27</v>
      </c>
      <c r="E52" s="2">
        <v>16</v>
      </c>
      <c r="F52" s="2">
        <v>8</v>
      </c>
      <c r="G52" s="2">
        <v>7</v>
      </c>
      <c r="H52" s="2">
        <v>5</v>
      </c>
      <c r="I52" s="2">
        <v>1</v>
      </c>
      <c r="J52" s="2">
        <v>9</v>
      </c>
    </row>
    <row r="53" spans="1:10" x14ac:dyDescent="0.25">
      <c r="A53" s="2">
        <v>4</v>
      </c>
      <c r="B53" s="2">
        <v>4</v>
      </c>
      <c r="C53" s="2">
        <v>21</v>
      </c>
      <c r="D53" s="2">
        <v>28</v>
      </c>
      <c r="E53" s="2">
        <v>8</v>
      </c>
      <c r="F53" s="2">
        <v>3</v>
      </c>
      <c r="G53" s="2">
        <v>5</v>
      </c>
      <c r="H53" s="2">
        <v>3</v>
      </c>
      <c r="I53" s="2">
        <v>12</v>
      </c>
      <c r="J53" s="2">
        <v>7</v>
      </c>
    </row>
    <row r="54" spans="1:10" x14ac:dyDescent="0.25">
      <c r="A54" s="2">
        <v>25</v>
      </c>
      <c r="B54" s="2">
        <v>3</v>
      </c>
      <c r="C54" s="2">
        <v>18</v>
      </c>
      <c r="D54" s="2">
        <v>25</v>
      </c>
      <c r="E54" s="2">
        <v>17</v>
      </c>
      <c r="F54" s="2">
        <v>5</v>
      </c>
      <c r="G54" s="2">
        <v>8</v>
      </c>
      <c r="H54" s="2">
        <v>9</v>
      </c>
      <c r="I54" s="2">
        <v>2</v>
      </c>
      <c r="J54" s="2">
        <v>6</v>
      </c>
    </row>
    <row r="55" spans="1:10" x14ac:dyDescent="0.25">
      <c r="A55" s="2">
        <v>1</v>
      </c>
      <c r="B55" s="2">
        <v>4</v>
      </c>
      <c r="C55" s="2">
        <v>19</v>
      </c>
      <c r="D55" s="2">
        <v>26</v>
      </c>
      <c r="E55" s="2">
        <v>19</v>
      </c>
      <c r="F55" s="2">
        <v>5</v>
      </c>
      <c r="G55" s="2">
        <v>10</v>
      </c>
      <c r="H55" s="2">
        <v>4</v>
      </c>
      <c r="I55" s="2">
        <v>4</v>
      </c>
      <c r="J55" s="2">
        <v>7</v>
      </c>
    </row>
    <row r="56" spans="1:10" x14ac:dyDescent="0.25">
      <c r="A56" s="2">
        <v>2</v>
      </c>
      <c r="B56" s="2">
        <v>4</v>
      </c>
      <c r="C56" s="2">
        <v>20</v>
      </c>
      <c r="D56" s="2">
        <v>32</v>
      </c>
      <c r="E56" s="2">
        <v>19</v>
      </c>
      <c r="F56" s="2">
        <v>8</v>
      </c>
      <c r="G56" s="2">
        <v>9</v>
      </c>
      <c r="H56" s="2">
        <v>4</v>
      </c>
      <c r="I56" s="2">
        <v>2</v>
      </c>
      <c r="J56" s="2">
        <v>7</v>
      </c>
    </row>
    <row r="57" spans="1:10" x14ac:dyDescent="0.25">
      <c r="A57" s="2">
        <v>7</v>
      </c>
      <c r="B57" s="2">
        <v>4</v>
      </c>
      <c r="C57" s="2">
        <v>7</v>
      </c>
      <c r="D57" s="2">
        <v>25</v>
      </c>
      <c r="E57" s="2">
        <v>15</v>
      </c>
      <c r="F57" s="2">
        <v>9</v>
      </c>
      <c r="G57" s="2">
        <v>10</v>
      </c>
      <c r="H57" s="2">
        <v>5</v>
      </c>
      <c r="I57" s="2">
        <v>0</v>
      </c>
      <c r="J57" s="2">
        <v>6</v>
      </c>
    </row>
    <row r="58" spans="1:10" x14ac:dyDescent="0.25">
      <c r="A58" s="2">
        <v>10</v>
      </c>
      <c r="B58" s="2">
        <v>4</v>
      </c>
      <c r="C58" s="2">
        <v>15</v>
      </c>
      <c r="D58" s="2">
        <v>26</v>
      </c>
      <c r="E58" s="2">
        <v>16</v>
      </c>
      <c r="F58" s="2">
        <v>5</v>
      </c>
      <c r="G58" s="2">
        <v>11</v>
      </c>
      <c r="H58" s="2">
        <v>0</v>
      </c>
      <c r="I58" s="2">
        <v>5</v>
      </c>
      <c r="J58" s="2">
        <v>9</v>
      </c>
    </row>
    <row r="59" spans="1:10" x14ac:dyDescent="0.25">
      <c r="A59" s="2">
        <v>16</v>
      </c>
      <c r="B59" s="2">
        <v>4</v>
      </c>
      <c r="C59" s="2">
        <v>14</v>
      </c>
      <c r="D59" s="2">
        <v>27</v>
      </c>
      <c r="E59" s="2">
        <v>17</v>
      </c>
      <c r="F59" s="2">
        <v>5</v>
      </c>
      <c r="G59" s="2">
        <v>9</v>
      </c>
      <c r="H59" s="2">
        <v>2</v>
      </c>
      <c r="I59" s="2">
        <v>5</v>
      </c>
      <c r="J59" s="2">
        <v>9</v>
      </c>
    </row>
    <row r="60" spans="1:10" x14ac:dyDescent="0.25">
      <c r="A60" s="2">
        <v>94</v>
      </c>
      <c r="B60" s="2">
        <v>4</v>
      </c>
      <c r="C60" s="2">
        <v>15</v>
      </c>
      <c r="D60" s="2">
        <v>31</v>
      </c>
      <c r="E60" s="2">
        <v>24</v>
      </c>
      <c r="F60" s="2">
        <v>5</v>
      </c>
      <c r="G60" s="2">
        <v>8</v>
      </c>
      <c r="H60" s="2">
        <v>10</v>
      </c>
      <c r="I60" s="2">
        <v>0</v>
      </c>
      <c r="J60" s="2">
        <v>7</v>
      </c>
    </row>
    <row r="61" spans="1:10" x14ac:dyDescent="0.25">
      <c r="A61" s="2">
        <v>110</v>
      </c>
      <c r="B61" s="2">
        <v>5</v>
      </c>
      <c r="C61" s="2">
        <v>28</v>
      </c>
      <c r="D61" s="2">
        <v>24</v>
      </c>
      <c r="E61" s="2">
        <v>7</v>
      </c>
      <c r="F61" s="2">
        <v>2</v>
      </c>
      <c r="G61" s="2">
        <v>8</v>
      </c>
      <c r="H61" s="2">
        <v>2</v>
      </c>
      <c r="I61" s="2">
        <v>11</v>
      </c>
      <c r="J61" s="2">
        <v>7</v>
      </c>
    </row>
    <row r="62" spans="1:10" x14ac:dyDescent="0.25">
      <c r="A62" s="2">
        <v>111</v>
      </c>
      <c r="B62" s="2">
        <v>4</v>
      </c>
      <c r="C62" s="2">
        <v>10</v>
      </c>
      <c r="D62" s="2">
        <v>35</v>
      </c>
      <c r="E62" s="2">
        <v>10</v>
      </c>
      <c r="F62" s="2">
        <v>6</v>
      </c>
      <c r="G62" s="2">
        <v>8</v>
      </c>
      <c r="H62" s="2">
        <v>6</v>
      </c>
      <c r="I62" s="2">
        <v>1</v>
      </c>
      <c r="J62" s="2">
        <v>9</v>
      </c>
    </row>
    <row r="63" spans="1:10" x14ac:dyDescent="0.25">
      <c r="A63" s="2">
        <v>114</v>
      </c>
      <c r="B63" s="2">
        <v>4</v>
      </c>
      <c r="C63" s="2">
        <v>13</v>
      </c>
      <c r="D63" s="2">
        <v>39</v>
      </c>
      <c r="E63" s="2">
        <v>14</v>
      </c>
      <c r="F63" s="2">
        <v>6</v>
      </c>
      <c r="G63" s="2">
        <v>6</v>
      </c>
      <c r="H63" s="2">
        <v>7</v>
      </c>
      <c r="I63" s="2">
        <v>4</v>
      </c>
      <c r="J63" s="2">
        <v>7</v>
      </c>
    </row>
    <row r="64" spans="1:10" x14ac:dyDescent="0.25">
      <c r="A64" s="2">
        <v>116</v>
      </c>
      <c r="B64" s="2">
        <v>4</v>
      </c>
      <c r="C64" s="2">
        <v>4</v>
      </c>
      <c r="D64" s="2">
        <v>29</v>
      </c>
      <c r="E64" s="2">
        <v>12</v>
      </c>
      <c r="F64" s="2">
        <v>5</v>
      </c>
      <c r="G64" s="2">
        <v>10</v>
      </c>
      <c r="H64" s="2">
        <v>5</v>
      </c>
      <c r="I64" s="2">
        <v>3</v>
      </c>
      <c r="J64" s="2">
        <v>7</v>
      </c>
    </row>
    <row r="65" spans="1:10" x14ac:dyDescent="0.25">
      <c r="A65" s="2">
        <v>117</v>
      </c>
      <c r="B65" s="2">
        <v>4</v>
      </c>
      <c r="C65" s="2">
        <v>15</v>
      </c>
      <c r="D65" s="2">
        <v>26</v>
      </c>
      <c r="E65" s="2">
        <v>12</v>
      </c>
      <c r="F65" s="2">
        <v>6</v>
      </c>
      <c r="G65" s="2">
        <v>8</v>
      </c>
      <c r="H65" s="2">
        <v>3</v>
      </c>
      <c r="I65" s="2">
        <v>3</v>
      </c>
      <c r="J65" s="2">
        <v>10</v>
      </c>
    </row>
    <row r="66" spans="1:10" x14ac:dyDescent="0.25">
      <c r="A66" s="2">
        <v>119</v>
      </c>
      <c r="B66" s="2">
        <v>4</v>
      </c>
      <c r="C66" s="2">
        <v>4</v>
      </c>
      <c r="D66" s="2">
        <v>33</v>
      </c>
      <c r="E66" s="2">
        <v>15</v>
      </c>
      <c r="F66" s="2">
        <v>5</v>
      </c>
      <c r="G66" s="2">
        <v>8</v>
      </c>
      <c r="H66" s="2">
        <v>7</v>
      </c>
      <c r="I66" s="2">
        <v>1</v>
      </c>
      <c r="J66" s="2">
        <v>9</v>
      </c>
    </row>
    <row r="67" spans="1:10" x14ac:dyDescent="0.25">
      <c r="A67" s="2">
        <v>120</v>
      </c>
      <c r="B67" s="2">
        <v>5</v>
      </c>
      <c r="C67" s="2">
        <v>7</v>
      </c>
      <c r="D67" s="2">
        <v>24</v>
      </c>
      <c r="E67" s="2">
        <v>6</v>
      </c>
      <c r="F67" s="2">
        <v>3</v>
      </c>
      <c r="G67" s="2">
        <v>11</v>
      </c>
      <c r="H67" s="2">
        <v>5</v>
      </c>
      <c r="I67" s="2">
        <v>5</v>
      </c>
      <c r="J67" s="2">
        <v>6</v>
      </c>
    </row>
    <row r="68" spans="1:10" x14ac:dyDescent="0.25">
      <c r="A68" s="2">
        <v>121</v>
      </c>
      <c r="B68" s="2">
        <v>5</v>
      </c>
      <c r="C68" s="2">
        <v>11</v>
      </c>
      <c r="D68" s="2">
        <v>27</v>
      </c>
      <c r="E68" s="2">
        <v>16</v>
      </c>
      <c r="F68" s="2">
        <v>7</v>
      </c>
      <c r="G68" s="2">
        <v>9</v>
      </c>
      <c r="H68" s="2">
        <v>8</v>
      </c>
      <c r="I68" s="2">
        <v>1</v>
      </c>
      <c r="J68" s="2">
        <v>5</v>
      </c>
    </row>
    <row r="69" spans="1:10" x14ac:dyDescent="0.25">
      <c r="A69" s="2">
        <v>122</v>
      </c>
      <c r="B69" s="2">
        <v>4</v>
      </c>
      <c r="C69" s="2">
        <v>14</v>
      </c>
      <c r="D69" s="2">
        <v>28</v>
      </c>
      <c r="E69" s="2">
        <v>14</v>
      </c>
      <c r="F69" s="2">
        <v>4</v>
      </c>
      <c r="G69" s="2">
        <v>12</v>
      </c>
      <c r="H69" s="2">
        <v>5</v>
      </c>
      <c r="I69" s="2">
        <v>2</v>
      </c>
      <c r="J69" s="2">
        <v>7</v>
      </c>
    </row>
    <row r="70" spans="1:10" x14ac:dyDescent="0.25">
      <c r="A70" s="2">
        <v>99</v>
      </c>
      <c r="B70" s="2">
        <v>4</v>
      </c>
      <c r="C70" s="2">
        <v>8</v>
      </c>
      <c r="D70" s="2">
        <v>31</v>
      </c>
      <c r="E70" s="2">
        <v>15</v>
      </c>
      <c r="F70" s="2">
        <v>4</v>
      </c>
      <c r="G70" s="2">
        <v>9</v>
      </c>
      <c r="H70" s="2">
        <v>7</v>
      </c>
      <c r="I70" s="2">
        <v>2</v>
      </c>
      <c r="J70" s="2">
        <v>8</v>
      </c>
    </row>
    <row r="71" spans="1:10" x14ac:dyDescent="0.25">
      <c r="A71" s="2">
        <v>43</v>
      </c>
      <c r="B71" s="2">
        <v>5</v>
      </c>
      <c r="C71" s="2">
        <v>13</v>
      </c>
      <c r="D71" s="2">
        <v>30</v>
      </c>
      <c r="E71" s="2">
        <v>15</v>
      </c>
      <c r="F71" s="2">
        <v>6</v>
      </c>
      <c r="G71" s="2">
        <v>8</v>
      </c>
      <c r="H71" s="2">
        <v>6</v>
      </c>
      <c r="I71" s="2">
        <v>4</v>
      </c>
      <c r="J71" s="2">
        <v>6</v>
      </c>
    </row>
    <row r="72" spans="1:10" x14ac:dyDescent="0.25">
      <c r="A72" s="2">
        <v>44</v>
      </c>
      <c r="B72" s="2">
        <v>5</v>
      </c>
      <c r="C72" s="2">
        <v>14</v>
      </c>
      <c r="D72" s="2">
        <v>30</v>
      </c>
      <c r="E72" s="2">
        <v>13</v>
      </c>
      <c r="F72" s="2">
        <v>5</v>
      </c>
      <c r="G72" s="2">
        <v>8</v>
      </c>
      <c r="H72" s="2">
        <v>4</v>
      </c>
      <c r="I72" s="2">
        <v>4</v>
      </c>
      <c r="J72" s="2">
        <v>9</v>
      </c>
    </row>
    <row r="73" spans="1:10" x14ac:dyDescent="0.25">
      <c r="A73" s="2">
        <v>46</v>
      </c>
      <c r="B73" s="2">
        <v>5</v>
      </c>
      <c r="C73" s="2">
        <v>11</v>
      </c>
      <c r="D73" s="2">
        <v>29</v>
      </c>
      <c r="E73" s="2">
        <v>19</v>
      </c>
      <c r="F73" s="2">
        <v>5</v>
      </c>
      <c r="G73" s="2">
        <v>7</v>
      </c>
      <c r="H73" s="2">
        <v>3</v>
      </c>
      <c r="I73" s="2">
        <v>8</v>
      </c>
      <c r="J73" s="2">
        <v>7</v>
      </c>
    </row>
    <row r="74" spans="1:10" x14ac:dyDescent="0.25">
      <c r="A74" s="2">
        <v>62</v>
      </c>
      <c r="B74" s="2">
        <v>4</v>
      </c>
      <c r="C74" s="2">
        <v>12</v>
      </c>
      <c r="D74" s="2">
        <v>33</v>
      </c>
      <c r="E74" s="2">
        <v>13</v>
      </c>
      <c r="F74" s="2">
        <v>5</v>
      </c>
      <c r="G74" s="2">
        <v>9</v>
      </c>
      <c r="H74" s="2">
        <v>5</v>
      </c>
      <c r="I74" s="2">
        <v>2</v>
      </c>
      <c r="J74" s="2">
        <v>9</v>
      </c>
    </row>
    <row r="75" spans="1:10" x14ac:dyDescent="0.25">
      <c r="A75" s="2">
        <v>63</v>
      </c>
      <c r="B75" s="2">
        <v>4</v>
      </c>
      <c r="C75" s="2">
        <v>10</v>
      </c>
      <c r="D75" s="2">
        <v>28</v>
      </c>
      <c r="E75" s="2">
        <v>10</v>
      </c>
      <c r="F75" s="2">
        <v>5</v>
      </c>
      <c r="G75" s="2">
        <v>8</v>
      </c>
      <c r="H75" s="2">
        <v>9</v>
      </c>
      <c r="I75" s="2">
        <v>2</v>
      </c>
      <c r="J75" s="2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00"/>
  <sheetViews>
    <sheetView showGridLines="0" tabSelected="1" workbookViewId="0"/>
    <sheetView tabSelected="1" workbookViewId="1"/>
  </sheetViews>
  <sheetFormatPr defaultColWidth="8.85546875" defaultRowHeight="15" x14ac:dyDescent="0.25"/>
  <cols>
    <col min="1" max="14" width="10" customWidth="1"/>
  </cols>
  <sheetData>
    <row r="1" spans="1:14" ht="21.9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21.95" customHeight="1" x14ac:dyDescent="0.35">
      <c r="A2" s="3"/>
      <c r="B2" s="4" t="s">
        <v>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21.95" customHeight="1" x14ac:dyDescent="0.25">
      <c r="A3" s="3"/>
      <c r="B3" s="3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21.95" customHeight="1" x14ac:dyDescent="0.25">
      <c r="A4" s="3"/>
      <c r="B4" s="3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21.9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21.9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1.95" customHeight="1" x14ac:dyDescent="0.25">
      <c r="A7" s="3"/>
      <c r="B7" s="3" t="s">
        <v>13</v>
      </c>
      <c r="C7" s="3"/>
      <c r="D7" s="10" t="s">
        <v>14</v>
      </c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21.95" customHeight="1" x14ac:dyDescent="0.25">
      <c r="A8" s="3"/>
      <c r="B8" s="3" t="s">
        <v>15</v>
      </c>
      <c r="C8" s="3"/>
      <c r="D8" s="10" t="s">
        <v>1</v>
      </c>
      <c r="E8" s="11"/>
      <c r="F8" s="11"/>
      <c r="G8" s="3"/>
      <c r="H8" s="3" t="s">
        <v>16</v>
      </c>
      <c r="I8" s="3"/>
      <c r="J8" s="10" t="s">
        <v>2</v>
      </c>
      <c r="K8" s="11"/>
      <c r="L8" s="11"/>
      <c r="M8" s="11"/>
      <c r="N8" s="11"/>
    </row>
    <row r="9" spans="1:14" ht="21.95" customHeight="1" x14ac:dyDescent="0.25">
      <c r="A9" s="3"/>
      <c r="B9" s="3" t="str">
        <f>"ρ = "&amp;IF(Расчёты_графиков!B13&lt;0,"−","")&amp;FIXED(ABS(Расчёты_графиков!B13),3,TRUE)&amp;"; p = "&amp;FIXED(Расчёты_графиков!B14,4,TRUE)&amp;"; n = "&amp;Расчёты_графиков!B12</f>
        <v>ρ = −0,262; p = 0,0241; n = 74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21.9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21.9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21.9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21.9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21.9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21.9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21.9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21.9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21.9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21.9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21.9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21.9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21.9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21.9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21.9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21.9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21.9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21.9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21.9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21.9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ht="21.9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21.9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21.9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ht="21.9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ht="21.9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ht="21.9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ht="21.9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ht="21.9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21.9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21.95" customHeight="1" x14ac:dyDescent="0.25">
      <c r="A39" s="3"/>
      <c r="B39" s="3" t="s">
        <v>13</v>
      </c>
      <c r="C39" s="3"/>
      <c r="D39" s="10" t="s">
        <v>17</v>
      </c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21.95" customHeight="1" x14ac:dyDescent="0.25">
      <c r="A40" s="3"/>
      <c r="B40" s="3" t="s">
        <v>15</v>
      </c>
      <c r="C40" s="3"/>
      <c r="D40" s="10" t="s">
        <v>1</v>
      </c>
      <c r="E40" s="11"/>
      <c r="F40" s="11"/>
      <c r="G40" s="3"/>
      <c r="H40" s="3" t="s">
        <v>16</v>
      </c>
      <c r="I40" s="3"/>
      <c r="J40" s="10" t="s">
        <v>3</v>
      </c>
      <c r="K40" s="11"/>
      <c r="L40" s="11"/>
      <c r="M40" s="11"/>
      <c r="N40" s="11"/>
    </row>
    <row r="41" spans="1:14" ht="21.95" customHeight="1" x14ac:dyDescent="0.25">
      <c r="A41" s="3"/>
      <c r="B41" s="3" t="str">
        <f>"ρ = "&amp;IF(Расчёты_графиков!B243&lt;0,"−","")&amp;FIXED(ABS(Расчёты_графиков!B243),3,TRUE)&amp;"; p = "&amp;FIXED(Расчёты_графиков!B244,4,TRUE)&amp;"; n = "&amp;Расчёты_графиков!B242</f>
        <v>ρ = 0,183; p = 0,1195; n = 74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ht="21.9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 ht="21.9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 ht="21.9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 ht="21.9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 ht="21.9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ht="21.9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21.9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ht="21.9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ht="21.9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ht="21.9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 ht="21.9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ht="21.9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ht="21.9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ht="21.9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 ht="21.9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ht="21.9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ht="21.9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 ht="21.9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1:14" ht="21.9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1:14" ht="21.9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1:14" ht="21.9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 ht="21.9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 ht="21.9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1:14" ht="21.9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1:14" ht="21.9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ht="21.9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 ht="21.9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ht="21.9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ht="21.9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ht="21.95" customHeight="1" x14ac:dyDescent="0.25">
      <c r="A71" s="3"/>
      <c r="B71" s="3" t="s">
        <v>13</v>
      </c>
      <c r="C71" s="3"/>
      <c r="D71" s="10" t="s">
        <v>18</v>
      </c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21.95" customHeight="1" x14ac:dyDescent="0.25">
      <c r="A72" s="3"/>
      <c r="B72" s="3" t="s">
        <v>15</v>
      </c>
      <c r="C72" s="3"/>
      <c r="D72" s="10" t="s">
        <v>1</v>
      </c>
      <c r="E72" s="11"/>
      <c r="F72" s="11"/>
      <c r="G72" s="3"/>
      <c r="H72" s="3" t="s">
        <v>16</v>
      </c>
      <c r="I72" s="3"/>
      <c r="J72" s="10" t="s">
        <v>4</v>
      </c>
      <c r="K72" s="11"/>
      <c r="L72" s="11"/>
      <c r="M72" s="11"/>
      <c r="N72" s="11"/>
    </row>
    <row r="73" spans="1:14" ht="21.95" customHeight="1" x14ac:dyDescent="0.25">
      <c r="A73" s="3"/>
      <c r="B73" s="3" t="str">
        <f>"ρ = "&amp;IF(Расчёты_графиков!B473&lt;0,"−","")&amp;FIXED(ABS(Расчёты_графиков!B473),3,TRUE)&amp;"; p = "&amp;FIXED(Расчёты_графиков!B474,4,TRUE)&amp;"; n = "&amp;Расчёты_графиков!B472</f>
        <v>ρ = −0,363; p = 0,0015; n = 74</v>
      </c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 ht="21.9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ht="21.9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ht="21.9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 ht="21.9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 ht="21.9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 ht="21.9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 ht="21.9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ht="21.9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 ht="21.9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 ht="21.9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ht="21.9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ht="21.9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 ht="21.9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 ht="21.9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 ht="21.9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 ht="21.9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 ht="21.9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 ht="21.9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 ht="21.9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 ht="21.9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 ht="21.9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ht="21.9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ht="21.9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ht="21.9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ht="21.9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 ht="21.9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 ht="21.9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 ht="21.9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ht="21.9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 ht="21.95" customHeight="1" x14ac:dyDescent="0.25">
      <c r="A103" s="3"/>
      <c r="B103" s="3" t="s">
        <v>13</v>
      </c>
      <c r="C103" s="3"/>
      <c r="D103" s="10" t="s">
        <v>19</v>
      </c>
      <c r="E103" s="11"/>
      <c r="F103" s="11"/>
      <c r="G103" s="11"/>
      <c r="H103" s="11"/>
      <c r="I103" s="11"/>
      <c r="J103" s="11"/>
      <c r="K103" s="11"/>
      <c r="L103" s="11"/>
      <c r="M103" s="11"/>
      <c r="N103" s="11"/>
    </row>
    <row r="104" spans="1:14" ht="21.95" customHeight="1" x14ac:dyDescent="0.25">
      <c r="A104" s="3"/>
      <c r="B104" s="3" t="s">
        <v>15</v>
      </c>
      <c r="C104" s="3"/>
      <c r="D104" s="10" t="s">
        <v>1</v>
      </c>
      <c r="E104" s="11"/>
      <c r="F104" s="11"/>
      <c r="G104" s="3"/>
      <c r="H104" s="3" t="s">
        <v>16</v>
      </c>
      <c r="I104" s="3"/>
      <c r="J104" s="10" t="s">
        <v>5</v>
      </c>
      <c r="K104" s="11"/>
      <c r="L104" s="11"/>
      <c r="M104" s="11"/>
      <c r="N104" s="11"/>
    </row>
    <row r="105" spans="1:14" ht="21.95" customHeight="1" x14ac:dyDescent="0.25">
      <c r="A105" s="3"/>
      <c r="B105" s="3" t="str">
        <f>"ρ = "&amp;IF(Расчёты_графиков!B703&lt;0,"−","")&amp;FIXED(ABS(Расчёты_графиков!B703),3,TRUE)&amp;"; p = "&amp;FIXED(Расчёты_графиков!B704,4,TRUE)&amp;"; n = "&amp;Расчёты_графиков!B702</f>
        <v>ρ = −0,253; p = 0,0294; n = 74</v>
      </c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 ht="21.9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 ht="21.9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 ht="21.9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 ht="21.9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 ht="21.9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 ht="21.9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1:14" ht="21.9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1:14" ht="21.9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 ht="21.9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 ht="21.9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1:14" ht="21.9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1:14" ht="21.9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1:14" ht="21.9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 ht="21.9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1:14" ht="21.9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1:14" ht="21.9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 ht="21.9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1:14" ht="21.9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1:14" ht="21.9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1:14" ht="21.9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1:14" ht="21.9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1:14" ht="21.9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4" ht="21.9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1:14" ht="21.9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21.9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1:14" ht="21.9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 ht="21.9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1:14" ht="21.9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1:14" ht="21.9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ht="21.95" customHeight="1" x14ac:dyDescent="0.25">
      <c r="A135" s="3"/>
      <c r="B135" s="3" t="s">
        <v>13</v>
      </c>
      <c r="C135" s="3"/>
      <c r="D135" s="10" t="s">
        <v>20</v>
      </c>
      <c r="E135" s="11"/>
      <c r="F135" s="11"/>
      <c r="G135" s="11"/>
      <c r="H135" s="11"/>
      <c r="I135" s="11"/>
      <c r="J135" s="11"/>
      <c r="K135" s="11"/>
      <c r="L135" s="11"/>
      <c r="M135" s="11"/>
      <c r="N135" s="11"/>
    </row>
    <row r="136" spans="1:14" ht="21.95" customHeight="1" x14ac:dyDescent="0.25">
      <c r="A136" s="3"/>
      <c r="B136" s="3" t="s">
        <v>15</v>
      </c>
      <c r="C136" s="3"/>
      <c r="D136" s="10" t="s">
        <v>1</v>
      </c>
      <c r="E136" s="11"/>
      <c r="F136" s="11"/>
      <c r="G136" s="3"/>
      <c r="H136" s="3" t="s">
        <v>16</v>
      </c>
      <c r="I136" s="3"/>
      <c r="J136" s="10" t="s">
        <v>6</v>
      </c>
      <c r="K136" s="11"/>
      <c r="L136" s="11"/>
      <c r="M136" s="11"/>
      <c r="N136" s="11"/>
    </row>
    <row r="137" spans="1:14" ht="21.95" customHeight="1" x14ac:dyDescent="0.25">
      <c r="A137" s="3"/>
      <c r="B137" s="3" t="str">
        <f>"ρ = "&amp;IF(Расчёты_графиков!B933&lt;0,"−","")&amp;FIXED(ABS(Расчёты_графиков!B933),3,TRUE)&amp;"; p = "&amp;FIXED(Расчёты_графиков!B934,4,TRUE)&amp;"; n = "&amp;Расчёты_графиков!B932</f>
        <v>ρ = 0,079; p = 0,5034; n = 74</v>
      </c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1:14" ht="21.9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 ht="21.9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1:14" ht="21.9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1:14" ht="21.9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1:14" ht="21.9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1:14" ht="21.9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1:14" ht="21.9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1:14" ht="21.9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1:14" ht="21.9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1:14" ht="21.9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1:14" ht="21.9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1:14" ht="21.9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1:14" ht="21.9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1:14" ht="21.9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1:14" ht="21.9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1:14" ht="21.9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1:14" ht="21.9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1:14" ht="21.9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1:14" ht="21.9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 ht="21.9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 ht="21.9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 ht="21.9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 ht="21.9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 ht="21.9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1:14" ht="21.9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1:14" ht="21.9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1:14" ht="21.9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1:14" ht="21.9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1:14" ht="21.9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1:14" ht="21.95" customHeight="1" x14ac:dyDescent="0.25">
      <c r="A167" s="3"/>
      <c r="B167" s="3" t="s">
        <v>13</v>
      </c>
      <c r="C167" s="3"/>
      <c r="D167" s="10" t="s">
        <v>21</v>
      </c>
      <c r="E167" s="11"/>
      <c r="F167" s="11"/>
      <c r="G167" s="11"/>
      <c r="H167" s="11"/>
      <c r="I167" s="11"/>
      <c r="J167" s="11"/>
      <c r="K167" s="11"/>
      <c r="L167" s="11"/>
      <c r="M167" s="11"/>
      <c r="N167" s="11"/>
    </row>
    <row r="168" spans="1:14" ht="21.95" customHeight="1" x14ac:dyDescent="0.25">
      <c r="A168" s="3"/>
      <c r="B168" s="3" t="s">
        <v>15</v>
      </c>
      <c r="C168" s="3"/>
      <c r="D168" s="10" t="s">
        <v>1</v>
      </c>
      <c r="E168" s="11"/>
      <c r="F168" s="11"/>
      <c r="G168" s="3"/>
      <c r="H168" s="3" t="s">
        <v>16</v>
      </c>
      <c r="I168" s="3"/>
      <c r="J168" s="10" t="s">
        <v>7</v>
      </c>
      <c r="K168" s="11"/>
      <c r="L168" s="11"/>
      <c r="M168" s="11"/>
      <c r="N168" s="11"/>
    </row>
    <row r="169" spans="1:14" ht="21.95" customHeight="1" x14ac:dyDescent="0.25">
      <c r="A169" s="3"/>
      <c r="B169" s="3" t="str">
        <f>"ρ = "&amp;IF(Расчёты_графиков!B1163&lt;0,"−","")&amp;FIXED(ABS(Расчёты_графиков!B1163),3,TRUE)&amp;"; p = "&amp;FIXED(Расчёты_графиков!B1164,4,TRUE)&amp;"; n = "&amp;Расчёты_графиков!B1162</f>
        <v>ρ = 0,086; p = 0,4655; n = 74</v>
      </c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14" ht="21.9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 ht="21.9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 ht="21.9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 ht="21.9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1:14" ht="21.9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1:14" ht="21.9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1:14" ht="21.9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1:14" ht="21.9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1:14" ht="21.9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1:14" ht="21.9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1:14" ht="21.9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1:14" ht="21.9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1:14" ht="21.9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1:14" ht="21.9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 ht="21.9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1:14" ht="21.9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1:14" ht="21.9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1:14" ht="21.9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 ht="21.9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4" ht="21.9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4" ht="21.9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4" ht="21.9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4" ht="21.9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1:14" ht="21.9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1:14" ht="21.9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 ht="21.9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1:14" ht="21.9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 ht="21.9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1:14" ht="21.9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1:14" ht="21.95" customHeight="1" x14ac:dyDescent="0.25">
      <c r="A199" s="3"/>
      <c r="B199" s="3" t="s">
        <v>13</v>
      </c>
      <c r="C199" s="3"/>
      <c r="D199" s="10" t="s">
        <v>22</v>
      </c>
      <c r="E199" s="11"/>
      <c r="F199" s="11"/>
      <c r="G199" s="11"/>
      <c r="H199" s="11"/>
      <c r="I199" s="11"/>
      <c r="J199" s="11"/>
      <c r="K199" s="11"/>
      <c r="L199" s="11"/>
      <c r="M199" s="11"/>
      <c r="N199" s="11"/>
    </row>
    <row r="200" spans="1:14" ht="21.95" customHeight="1" x14ac:dyDescent="0.25">
      <c r="A200" s="3"/>
      <c r="B200" s="3" t="s">
        <v>15</v>
      </c>
      <c r="C200" s="3"/>
      <c r="D200" s="10" t="s">
        <v>1</v>
      </c>
      <c r="E200" s="11"/>
      <c r="F200" s="11"/>
      <c r="G200" s="3"/>
      <c r="H200" s="3" t="s">
        <v>16</v>
      </c>
      <c r="I200" s="3"/>
      <c r="J200" s="10" t="s">
        <v>8</v>
      </c>
      <c r="K200" s="11"/>
      <c r="L200" s="11"/>
      <c r="M200" s="11"/>
      <c r="N200" s="11"/>
    </row>
    <row r="201" spans="1:14" ht="21.95" customHeight="1" x14ac:dyDescent="0.25">
      <c r="A201" s="3"/>
      <c r="B201" s="3" t="str">
        <f>"ρ = "&amp;IF(Расчёты_графиков!B1393&lt;0,"−","")&amp;FIXED(ABS(Расчёты_графиков!B1393),3,TRUE)&amp;"; p = "&amp;FIXED(Расчёты_графиков!B1394,4,TRUE)&amp;"; n = "&amp;Расчёты_графиков!B1392</f>
        <v>ρ = −0,102; p = 0,3880; n = 74</v>
      </c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 ht="21.9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 ht="21.9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1:14" ht="21.9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1:14" ht="21.9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1:14" ht="21.9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1:14" ht="21.9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1:14" ht="21.9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1:14" ht="21.9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1:14" ht="21.9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1:14" ht="21.9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spans="1:14" ht="21.9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spans="1:14" ht="21.9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1:14" ht="21.9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1:14" ht="21.9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spans="1:14" ht="21.9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spans="1:14" ht="21.9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spans="1:14" ht="21.9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1:14" ht="21.9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1:14" ht="21.9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1:14" ht="21.9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1:14" ht="21.9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1:14" ht="21.9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1:14" ht="21.9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spans="1:14" ht="21.9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1:14" ht="21.9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1:14" ht="21.9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1:14" ht="21.9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1:14" ht="21.9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1:14" ht="21.9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1:14" ht="21.95" customHeight="1" x14ac:dyDescent="0.25">
      <c r="A231" s="3"/>
      <c r="B231" s="3" t="s">
        <v>13</v>
      </c>
      <c r="C231" s="3"/>
      <c r="D231" s="10" t="s">
        <v>23</v>
      </c>
      <c r="E231" s="11"/>
      <c r="F231" s="11"/>
      <c r="G231" s="11"/>
      <c r="H231" s="11"/>
      <c r="I231" s="11"/>
      <c r="J231" s="11"/>
      <c r="K231" s="11"/>
      <c r="L231" s="11"/>
      <c r="M231" s="11"/>
      <c r="N231" s="11"/>
    </row>
    <row r="232" spans="1:14" ht="21.95" customHeight="1" x14ac:dyDescent="0.25">
      <c r="A232" s="3"/>
      <c r="B232" s="3" t="s">
        <v>15</v>
      </c>
      <c r="C232" s="3"/>
      <c r="D232" s="10" t="s">
        <v>1</v>
      </c>
      <c r="E232" s="11"/>
      <c r="F232" s="11"/>
      <c r="G232" s="3"/>
      <c r="H232" s="3" t="s">
        <v>16</v>
      </c>
      <c r="I232" s="3"/>
      <c r="J232" s="10" t="s">
        <v>9</v>
      </c>
      <c r="K232" s="11"/>
      <c r="L232" s="11"/>
      <c r="M232" s="11"/>
      <c r="N232" s="11"/>
    </row>
    <row r="233" spans="1:14" ht="21.95" customHeight="1" x14ac:dyDescent="0.25">
      <c r="A233" s="3"/>
      <c r="B233" s="3" t="str">
        <f>"ρ = "&amp;IF(Расчёты_графиков!B1623&lt;0,"−","")&amp;FIXED(ABS(Расчёты_графиков!B1623),3,TRUE)&amp;"; p = "&amp;FIXED(Расчёты_графиков!B1624,4,TRUE)&amp;"; n = "&amp;Расчёты_графиков!B1622</f>
        <v>ρ = 0,045; p = 0,7043; n = 74</v>
      </c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1:14" ht="21.9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1:14" ht="21.9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1:14" ht="21.9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1:14" ht="21.9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1:14" ht="21.9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1:14" ht="21.9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1:14" ht="21.9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spans="1:14" ht="21.9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 spans="1:14" ht="21.9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</row>
    <row r="243" spans="1:14" ht="21.9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 spans="1:14" ht="21.9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</row>
    <row r="245" spans="1:14" ht="21.9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</row>
    <row r="246" spans="1:14" ht="21.9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</row>
    <row r="247" spans="1:14" ht="21.9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</row>
    <row r="248" spans="1:14" ht="21.9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spans="1:14" ht="21.9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</row>
    <row r="250" spans="1:14" ht="21.9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</row>
    <row r="251" spans="1:14" ht="21.9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</row>
    <row r="252" spans="1:14" ht="21.9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 spans="1:14" ht="21.9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spans="1:14" ht="21.9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 spans="1:14" ht="21.9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 spans="1:14" ht="21.9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spans="1:14" ht="21.9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1:14" ht="21.9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1:14" ht="21.9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1:14" ht="21.9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1:14" ht="21.9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1:14" ht="21.9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1:14" ht="21.9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1:14" ht="21.9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1:14" ht="21.9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1:14" ht="21.9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1:14" ht="21.9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1:14" ht="21.9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1:14" ht="21.9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1:14" ht="21.9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  <row r="271" spans="1:14" ht="21.9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</row>
    <row r="272" spans="1:14" ht="21.9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</row>
    <row r="273" spans="1:14" ht="21.9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</row>
    <row r="274" spans="1:14" ht="21.9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</row>
    <row r="275" spans="1:14" ht="21.9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</row>
    <row r="276" spans="1:14" ht="21.9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</row>
    <row r="277" spans="1:14" ht="21.9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</row>
    <row r="278" spans="1:14" ht="21.9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</row>
    <row r="279" spans="1:14" ht="21.9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</row>
    <row r="280" spans="1:14" ht="21.9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</row>
    <row r="281" spans="1:14" ht="21.9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</row>
    <row r="282" spans="1:14" ht="21.9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</row>
    <row r="283" spans="1:14" ht="21.9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</row>
    <row r="284" spans="1:14" ht="21.9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</row>
    <row r="285" spans="1:14" ht="21.9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</row>
    <row r="286" spans="1:14" ht="21.9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</row>
    <row r="287" spans="1:14" ht="21.9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</row>
    <row r="288" spans="1:14" ht="21.9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</row>
    <row r="289" spans="1:14" ht="21.9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</row>
    <row r="290" spans="1:14" ht="21.9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</row>
    <row r="291" spans="1:14" ht="21.9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</row>
    <row r="292" spans="1:14" ht="21.9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</row>
    <row r="293" spans="1:14" ht="21.9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</row>
    <row r="294" spans="1:14" ht="21.9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</row>
    <row r="295" spans="1:14" ht="21.9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</row>
    <row r="296" spans="1:14" ht="21.9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</row>
    <row r="297" spans="1:14" ht="21.9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</row>
    <row r="298" spans="1:14" ht="21.9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</row>
    <row r="299" spans="1:14" ht="21.9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</row>
    <row r="300" spans="1:14" ht="21.9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</row>
  </sheetData>
  <mergeCells count="24">
    <mergeCell ref="D7:N7"/>
    <mergeCell ref="J168:N168"/>
    <mergeCell ref="D103:N103"/>
    <mergeCell ref="D71:N71"/>
    <mergeCell ref="D167:N167"/>
    <mergeCell ref="D39:N39"/>
    <mergeCell ref="D40:F40"/>
    <mergeCell ref="J8:N8"/>
    <mergeCell ref="J40:N40"/>
    <mergeCell ref="J136:N136"/>
    <mergeCell ref="D168:F168"/>
    <mergeCell ref="D8:F8"/>
    <mergeCell ref="D232:F232"/>
    <mergeCell ref="D135:N135"/>
    <mergeCell ref="J104:N104"/>
    <mergeCell ref="D231:N231"/>
    <mergeCell ref="J232:N232"/>
    <mergeCell ref="D104:F104"/>
    <mergeCell ref="D136:F136"/>
    <mergeCell ref="J200:N200"/>
    <mergeCell ref="J72:N72"/>
    <mergeCell ref="D200:F200"/>
    <mergeCell ref="D199:N199"/>
    <mergeCell ref="D72:F7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00"/>
  <sheetViews>
    <sheetView showGridLines="0" workbookViewId="0"/>
    <sheetView workbookViewId="1"/>
  </sheetViews>
  <sheetFormatPr defaultColWidth="8.85546875" defaultRowHeight="15" x14ac:dyDescent="0.25"/>
  <cols>
    <col min="1" max="14" width="10" customWidth="1"/>
  </cols>
  <sheetData>
    <row r="1" spans="1:14" ht="21.9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21.95" customHeight="1" x14ac:dyDescent="0.35">
      <c r="A2" s="3"/>
      <c r="B2" s="4" t="s">
        <v>24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21.95" customHeight="1" x14ac:dyDescent="0.25">
      <c r="A3" s="3"/>
      <c r="B3" s="3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21.95" customHeight="1" x14ac:dyDescent="0.25">
      <c r="A4" s="3"/>
      <c r="B4" s="3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21.9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21.9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1.95" customHeight="1" x14ac:dyDescent="0.25">
      <c r="A7" s="3"/>
      <c r="B7" s="3" t="s">
        <v>13</v>
      </c>
      <c r="C7" s="3"/>
      <c r="D7" s="10" t="s">
        <v>25</v>
      </c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21.95" customHeight="1" x14ac:dyDescent="0.25">
      <c r="A8" s="3"/>
      <c r="B8" s="3" t="s">
        <v>15</v>
      </c>
      <c r="C8" s="3"/>
      <c r="D8" s="10" t="s">
        <v>1</v>
      </c>
      <c r="E8" s="11"/>
      <c r="F8" s="11"/>
      <c r="G8" s="3"/>
      <c r="H8" s="3" t="s">
        <v>16</v>
      </c>
      <c r="I8" s="3"/>
      <c r="J8" s="10" t="s">
        <v>2</v>
      </c>
      <c r="K8" s="11"/>
      <c r="L8" s="11"/>
      <c r="M8" s="11"/>
      <c r="N8" s="11"/>
    </row>
    <row r="9" spans="1:14" ht="21.95" customHeight="1" x14ac:dyDescent="0.25">
      <c r="A9" s="3"/>
      <c r="B9" s="3" t="str">
        <f>"ŷ = "&amp;FIXED(Расчёты_графиков!B15,3,TRUE)&amp;IF(Расчёты_графиков!B16&lt;0," − "," + ")&amp;FIXED(ABS(Расчёты_графиков!B16),3,TRUE)&amp;"x; R² = "&amp;FIXED(Расчёты_графиков!B17,3,TRUE)&amp;"; p = "&amp;FIXED(Расчёты_графиков!B22,4,TRUE)&amp;"; n = "&amp;Расчёты_графиков!B12</f>
        <v>ŷ = 18,628 − 1,274x; R² = 0,067; p = 0,0263; n = 74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21.9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21.9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21.9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21.9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21.9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21.9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21.9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21.9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21.9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21.9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21.9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21.9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21.9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21.9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21.9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21.9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21.9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21.9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21.9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21.9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ht="21.9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21.9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21.9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ht="21.9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ht="21.9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ht="21.9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ht="21.9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ht="21.9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21.9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21.95" customHeight="1" x14ac:dyDescent="0.25">
      <c r="A39" s="3"/>
      <c r="B39" s="3" t="s">
        <v>13</v>
      </c>
      <c r="C39" s="3"/>
      <c r="D39" s="10" t="s">
        <v>26</v>
      </c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21.95" customHeight="1" x14ac:dyDescent="0.25">
      <c r="A40" s="3"/>
      <c r="B40" s="3" t="s">
        <v>15</v>
      </c>
      <c r="C40" s="3"/>
      <c r="D40" s="10" t="s">
        <v>1</v>
      </c>
      <c r="E40" s="11"/>
      <c r="F40" s="11"/>
      <c r="G40" s="3"/>
      <c r="H40" s="3" t="s">
        <v>16</v>
      </c>
      <c r="I40" s="3"/>
      <c r="J40" s="10" t="s">
        <v>3</v>
      </c>
      <c r="K40" s="11"/>
      <c r="L40" s="11"/>
      <c r="M40" s="11"/>
      <c r="N40" s="11"/>
    </row>
    <row r="41" spans="1:14" ht="21.95" customHeight="1" x14ac:dyDescent="0.25">
      <c r="A41" s="3"/>
      <c r="B41" s="3" t="str">
        <f>"ŷ = "&amp;FIXED(Расчёты_графиков!B245,3,TRUE)&amp;IF(Расчёты_графиков!B246&lt;0," − "," + ")&amp;FIXED(ABS(Расчёты_графиков!B246),3,TRUE)&amp;"x; R² = "&amp;FIXED(Расчёты_графиков!B247,3,TRUE)&amp;"; p = "&amp;FIXED(Расчёты_графиков!B252,4,TRUE)&amp;"; n = "&amp;Расчёты_графиков!B242</f>
        <v>ŷ = 26,514 + 0,439x; R² = 0,018; p = 0,2579; n = 74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ht="21.9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 ht="21.9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 ht="21.9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 ht="21.9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 ht="21.9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ht="21.9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21.9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ht="21.9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ht="21.9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ht="21.9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 ht="21.9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ht="21.9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ht="21.9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ht="21.9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 ht="21.9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ht="21.9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ht="21.9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 ht="21.9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1:14" ht="21.9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1:14" ht="21.9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1:14" ht="21.9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 ht="21.9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 ht="21.9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1:14" ht="21.9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1:14" ht="21.9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ht="21.9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 ht="21.9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ht="21.9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ht="21.9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ht="21.95" customHeight="1" x14ac:dyDescent="0.25">
      <c r="A71" s="3"/>
      <c r="B71" s="3" t="s">
        <v>13</v>
      </c>
      <c r="C71" s="3"/>
      <c r="D71" s="10" t="s">
        <v>27</v>
      </c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21.95" customHeight="1" x14ac:dyDescent="0.25">
      <c r="A72" s="3"/>
      <c r="B72" s="3" t="s">
        <v>15</v>
      </c>
      <c r="C72" s="3"/>
      <c r="D72" s="10" t="s">
        <v>1</v>
      </c>
      <c r="E72" s="11"/>
      <c r="F72" s="11"/>
      <c r="G72" s="3"/>
      <c r="H72" s="3" t="s">
        <v>16</v>
      </c>
      <c r="I72" s="3"/>
      <c r="J72" s="10" t="s">
        <v>4</v>
      </c>
      <c r="K72" s="11"/>
      <c r="L72" s="11"/>
      <c r="M72" s="11"/>
      <c r="N72" s="11"/>
    </row>
    <row r="73" spans="1:14" ht="21.95" customHeight="1" x14ac:dyDescent="0.25">
      <c r="A73" s="3"/>
      <c r="B73" s="3" t="str">
        <f>"ŷ = "&amp;FIXED(Расчёты_графиков!B475,3,TRUE)&amp;IF(Расчёты_графиков!B476&lt;0," − "," + ")&amp;FIXED(ABS(Расчёты_графиков!B476),3,TRUE)&amp;"x; R² = "&amp;FIXED(Расчёты_графиков!B477,3,TRUE)&amp;"; p = "&amp;FIXED(Расчёты_графиков!B482,4,TRUE)&amp;"; n = "&amp;Расчёты_графиков!B472</f>
        <v>ŷ = 19,757 − 1,276x; R² = 0,141; p = 0,0010; n = 74</v>
      </c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 ht="21.9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ht="21.9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ht="21.9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 ht="21.9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 ht="21.9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 ht="21.9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 ht="21.9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ht="21.9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 ht="21.9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 ht="21.9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ht="21.9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ht="21.9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 ht="21.9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 ht="21.9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 ht="21.9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 ht="21.9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 ht="21.9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 ht="21.9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 ht="21.9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 ht="21.9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 ht="21.9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ht="21.9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ht="21.9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ht="21.9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ht="21.9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 ht="21.9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 ht="21.9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 ht="21.9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ht="21.9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 ht="21.95" customHeight="1" x14ac:dyDescent="0.25">
      <c r="A103" s="3"/>
      <c r="B103" s="3" t="s">
        <v>13</v>
      </c>
      <c r="C103" s="3"/>
      <c r="D103" s="10" t="s">
        <v>28</v>
      </c>
      <c r="E103" s="11"/>
      <c r="F103" s="11"/>
      <c r="G103" s="11"/>
      <c r="H103" s="11"/>
      <c r="I103" s="11"/>
      <c r="J103" s="11"/>
      <c r="K103" s="11"/>
      <c r="L103" s="11"/>
      <c r="M103" s="11"/>
      <c r="N103" s="11"/>
    </row>
    <row r="104" spans="1:14" ht="21.95" customHeight="1" x14ac:dyDescent="0.25">
      <c r="A104" s="3"/>
      <c r="B104" s="3" t="s">
        <v>15</v>
      </c>
      <c r="C104" s="3"/>
      <c r="D104" s="10" t="s">
        <v>1</v>
      </c>
      <c r="E104" s="11"/>
      <c r="F104" s="11"/>
      <c r="G104" s="3"/>
      <c r="H104" s="3" t="s">
        <v>16</v>
      </c>
      <c r="I104" s="3"/>
      <c r="J104" s="10" t="s">
        <v>5</v>
      </c>
      <c r="K104" s="11"/>
      <c r="L104" s="11"/>
      <c r="M104" s="11"/>
      <c r="N104" s="11"/>
    </row>
    <row r="105" spans="1:14" ht="21.95" customHeight="1" x14ac:dyDescent="0.25">
      <c r="A105" s="3"/>
      <c r="B105" s="3" t="str">
        <f>"ŷ = "&amp;FIXED(Расчёты_графиков!B705,3,TRUE)&amp;IF(Расчёты_графиков!B706&lt;0," − "," + ")&amp;FIXED(ABS(Расчёты_графиков!B706),3,TRUE)&amp;"x; R² = "&amp;FIXED(Расчёты_графиков!B707,3,TRUE)&amp;"; p = "&amp;FIXED(Расчёты_графиков!B712,4,TRUE)&amp;"; n = "&amp;Расчёты_графиков!B702</f>
        <v>ŷ = 6,678 − 0,346x; R² = 0,047; p = 0,0633; n = 74</v>
      </c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 ht="21.9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 ht="21.9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 ht="21.9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 ht="21.9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 ht="21.9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 ht="21.9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1:14" ht="21.9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1:14" ht="21.9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 ht="21.9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 ht="21.9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1:14" ht="21.9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1:14" ht="21.9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1:14" ht="21.9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 ht="21.9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1:14" ht="21.9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1:14" ht="21.9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 ht="21.9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1:14" ht="21.9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1:14" ht="21.9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1:14" ht="21.9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1:14" ht="21.9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1:14" ht="21.9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4" ht="21.9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1:14" ht="21.9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21.9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1:14" ht="21.9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 ht="21.9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1:14" ht="21.9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1:14" ht="21.9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ht="21.9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1:14" ht="21.9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1:14" ht="21.9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1:14" ht="21.9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 ht="21.9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1:14" ht="21.9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1:14" ht="21.9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1:14" ht="21.9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1:14" ht="21.9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1:14" ht="21.9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1:14" ht="21.9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1:14" ht="21.9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1:14" ht="21.9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1:14" ht="21.9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1:14" ht="21.9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1:14" ht="21.9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1:14" ht="21.9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1:14" ht="21.9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1:14" ht="21.9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1:14" ht="21.9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1:14" ht="21.9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1:14" ht="21.9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 ht="21.9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 ht="21.9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 ht="21.9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 ht="21.9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 ht="21.9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1:14" ht="21.9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1:14" ht="21.9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1:14" ht="21.9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1:14" ht="21.9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1:14" ht="21.9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1:14" ht="21.9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1:14" ht="21.9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14" ht="21.9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14" ht="21.9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 ht="21.9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 ht="21.9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 ht="21.9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1:14" ht="21.9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1:14" ht="21.9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1:14" ht="21.9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1:14" ht="21.9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1:14" ht="21.9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1:14" ht="21.9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1:14" ht="21.9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1:14" ht="21.9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1:14" ht="21.9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1:14" ht="21.9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 ht="21.9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1:14" ht="21.9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1:14" ht="21.9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1:14" ht="21.9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 ht="21.9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4" ht="21.9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4" ht="21.9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4" ht="21.9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4" ht="21.9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1:14" ht="21.9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1:14" ht="21.9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 ht="21.9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1:14" ht="21.9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 ht="21.9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1:14" ht="21.9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1:14" ht="21.9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1:14" ht="21.9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1:14" ht="21.9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 ht="21.9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 ht="21.9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1:14" ht="21.9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1:14" ht="21.9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1:14" ht="21.9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1:14" ht="21.9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1:14" ht="21.9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1:14" ht="21.9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1:14" ht="21.9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1:14" ht="21.9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spans="1:14" ht="21.9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spans="1:14" ht="21.9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1:14" ht="21.9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1:14" ht="21.9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spans="1:14" ht="21.9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spans="1:14" ht="21.9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spans="1:14" ht="21.9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1:14" ht="21.9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1:14" ht="21.9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1:14" ht="21.9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1:14" ht="21.9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1:14" ht="21.9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1:14" ht="21.9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spans="1:14" ht="21.9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1:14" ht="21.9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1:14" ht="21.9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1:14" ht="21.9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1:14" ht="21.9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1:14" ht="21.9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1:14" ht="21.9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spans="1:14" ht="21.9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1:14" ht="21.9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1:14" ht="21.9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1:14" ht="21.9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1:14" ht="21.9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1:14" ht="21.9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1:14" ht="21.9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1:14" ht="21.9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1:14" ht="21.9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spans="1:14" ht="21.9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 spans="1:14" ht="21.9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</row>
    <row r="243" spans="1:14" ht="21.9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 spans="1:14" ht="21.9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</row>
    <row r="245" spans="1:14" ht="21.9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</row>
    <row r="246" spans="1:14" ht="21.9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</row>
    <row r="247" spans="1:14" ht="21.9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</row>
    <row r="248" spans="1:14" ht="21.9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spans="1:14" ht="21.9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</row>
    <row r="250" spans="1:14" ht="21.9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</row>
    <row r="251" spans="1:14" ht="21.9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</row>
    <row r="252" spans="1:14" ht="21.9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 spans="1:14" ht="21.9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spans="1:14" ht="21.9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 spans="1:14" ht="21.9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 spans="1:14" ht="21.9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spans="1:14" ht="21.9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1:14" ht="21.9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1:14" ht="21.9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1:14" ht="21.9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1:14" ht="21.9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1:14" ht="21.9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1:14" ht="21.9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1:14" ht="21.9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1:14" ht="21.9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1:14" ht="21.9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1:14" ht="21.9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1:14" ht="21.9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1:14" ht="21.9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1:14" ht="21.9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  <row r="271" spans="1:14" ht="21.9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</row>
    <row r="272" spans="1:14" ht="21.9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</row>
    <row r="273" spans="1:14" ht="21.9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</row>
    <row r="274" spans="1:14" ht="21.9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</row>
    <row r="275" spans="1:14" ht="21.9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</row>
    <row r="276" spans="1:14" ht="21.9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</row>
    <row r="277" spans="1:14" ht="21.9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</row>
    <row r="278" spans="1:14" ht="21.9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</row>
    <row r="279" spans="1:14" ht="21.9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</row>
    <row r="280" spans="1:14" ht="21.9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</row>
    <row r="281" spans="1:14" ht="21.9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</row>
    <row r="282" spans="1:14" ht="21.9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</row>
    <row r="283" spans="1:14" ht="21.9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</row>
    <row r="284" spans="1:14" ht="21.9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</row>
    <row r="285" spans="1:14" ht="21.9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</row>
    <row r="286" spans="1:14" ht="21.9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</row>
    <row r="287" spans="1:14" ht="21.9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</row>
    <row r="288" spans="1:14" ht="21.9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</row>
    <row r="289" spans="1:14" ht="21.9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</row>
    <row r="290" spans="1:14" ht="21.9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</row>
    <row r="291" spans="1:14" ht="21.9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</row>
    <row r="292" spans="1:14" ht="21.9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</row>
    <row r="293" spans="1:14" ht="21.9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</row>
    <row r="294" spans="1:14" ht="21.9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</row>
    <row r="295" spans="1:14" ht="21.9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</row>
    <row r="296" spans="1:14" ht="21.9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</row>
    <row r="297" spans="1:14" ht="21.9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</row>
    <row r="298" spans="1:14" ht="21.9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</row>
    <row r="299" spans="1:14" ht="21.9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</row>
    <row r="300" spans="1:14" ht="21.9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</row>
  </sheetData>
  <mergeCells count="12">
    <mergeCell ref="D72:F72"/>
    <mergeCell ref="D104:F104"/>
    <mergeCell ref="J40:N40"/>
    <mergeCell ref="J104:N104"/>
    <mergeCell ref="D7:N7"/>
    <mergeCell ref="D39:N39"/>
    <mergeCell ref="D40:F40"/>
    <mergeCell ref="J72:N72"/>
    <mergeCell ref="D103:N103"/>
    <mergeCell ref="D8:F8"/>
    <mergeCell ref="D71:N71"/>
    <mergeCell ref="J8:N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900"/>
  <sheetViews>
    <sheetView showGridLines="0" workbookViewId="0"/>
    <sheetView workbookViewId="1"/>
  </sheetViews>
  <sheetFormatPr defaultRowHeight="15" x14ac:dyDescent="0.25"/>
  <cols>
    <col min="1" max="1" width="27" customWidth="1"/>
    <col min="2" max="2" width="18" customWidth="1"/>
    <col min="3" max="17" width="14" customWidth="1"/>
  </cols>
  <sheetData>
    <row r="1" spans="1:19" x14ac:dyDescent="0.25">
      <c r="A1" s="5" t="s">
        <v>29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9" x14ac:dyDescent="0.25">
      <c r="A2" s="5" t="s">
        <v>30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9" x14ac:dyDescent="0.25">
      <c r="A3" s="5" t="s">
        <v>31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9" x14ac:dyDescent="0.25">
      <c r="A4" s="5" t="s">
        <v>32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9" x14ac:dyDescent="0.25">
      <c r="A5" s="5" t="s">
        <v>33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9" x14ac:dyDescent="0.25">
      <c r="A6" s="5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9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9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9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9" x14ac:dyDescent="0.25">
      <c r="A10" s="6" t="s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5"/>
      <c r="R10" t="s">
        <v>72</v>
      </c>
      <c r="S10" s="12">
        <v>0.08</v>
      </c>
    </row>
    <row r="11" spans="1:19" x14ac:dyDescent="0.25">
      <c r="A11" s="5"/>
      <c r="B11" s="5"/>
      <c r="C11" s="5"/>
      <c r="D11" s="5"/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/>
      <c r="K11" s="5" t="s">
        <v>35</v>
      </c>
      <c r="L11" s="5" t="s">
        <v>36</v>
      </c>
      <c r="M11" s="5"/>
      <c r="N11" s="5"/>
      <c r="O11" s="5" t="s">
        <v>37</v>
      </c>
      <c r="P11" s="5" t="s">
        <v>38</v>
      </c>
      <c r="Q11" s="5"/>
      <c r="S11" s="13" t="s">
        <v>73</v>
      </c>
    </row>
    <row r="12" spans="1:19" x14ac:dyDescent="0.25">
      <c r="A12" s="5" t="s">
        <v>39</v>
      </c>
      <c r="B12" s="7">
        <f>COUNT(Данные!$C$2:$C$75)</f>
        <v>74</v>
      </c>
      <c r="C12" s="5"/>
      <c r="D12" s="5"/>
      <c r="E12" s="5">
        <f>Данные!C2</f>
        <v>13</v>
      </c>
      <c r="F12" s="5">
        <f>Данные!C3</f>
        <v>8</v>
      </c>
      <c r="G12" s="5">
        <f>Данные!C22</f>
        <v>9</v>
      </c>
      <c r="H12" s="5">
        <f>Данные!C21</f>
        <v>19</v>
      </c>
      <c r="I12" s="5">
        <f>Данные!C61</f>
        <v>28</v>
      </c>
      <c r="J12" s="5"/>
      <c r="K12" s="5">
        <f>_xlfn.RANK.AVG(Данные!B2,Данные!$B$2:$B$75,1)</f>
        <v>4</v>
      </c>
      <c r="L12" s="5">
        <f>_xlfn.RANK.AVG(Данные!C2,Данные!$C$2:$C$75,1)</f>
        <v>25.5</v>
      </c>
      <c r="M12" s="5"/>
      <c r="N12" s="5"/>
      <c r="O12" s="5">
        <f>Данные!B2+(-0.105)</f>
        <v>0.89500000000000002</v>
      </c>
      <c r="P12" s="5">
        <f>Данные!C2</f>
        <v>13</v>
      </c>
      <c r="Q12" s="5"/>
      <c r="S12">
        <f>Данные!$B2+(COUNTIFS(Данные!$B$2:$B2,Данные!$B2,Данные!C$2:C2,Данные!C2)-(COUNTIFS(Данные!$B$2:$B$75,Данные!$B2,Данные!C$2:C$75,Данные!C2)+1)/2)*$S$10</f>
        <v>0.96</v>
      </c>
    </row>
    <row r="13" spans="1:19" x14ac:dyDescent="0.25">
      <c r="A13" s="5" t="s">
        <v>40</v>
      </c>
      <c r="B13" s="8">
        <f>CORREL(K12:K85,L12:L85)</f>
        <v>-0.26197630488753881</v>
      </c>
      <c r="C13" s="5"/>
      <c r="D13" s="5"/>
      <c r="E13" s="5">
        <f>Данные!C6</f>
        <v>11</v>
      </c>
      <c r="F13" s="5">
        <f>Данные!C4</f>
        <v>18</v>
      </c>
      <c r="G13" s="5">
        <f>Данные!C23</f>
        <v>8</v>
      </c>
      <c r="H13" s="5">
        <f>Данные!C31</f>
        <v>15</v>
      </c>
      <c r="I13" s="5">
        <f>Данные!C67</f>
        <v>7</v>
      </c>
      <c r="J13" s="5"/>
      <c r="K13" s="5">
        <f>_xlfn.RANK.AVG(Данные!B3,Данные!$B$2:$B$75,1)</f>
        <v>13.5</v>
      </c>
      <c r="L13" s="5">
        <f>_xlfn.RANK.AVG(Данные!C3,Данные!$C$2:$C$75,1)</f>
        <v>9.5</v>
      </c>
      <c r="M13" s="5"/>
      <c r="N13" s="5"/>
      <c r="O13" s="5">
        <f>Данные!B3+(-0.105)</f>
        <v>1.895</v>
      </c>
      <c r="P13" s="5">
        <f>Данные!C3</f>
        <v>8</v>
      </c>
      <c r="Q13" s="5"/>
      <c r="S13">
        <f>Данные!$B3+(COUNTIFS(Данные!$B$2:$B3,Данные!$B3,Данные!C$2:C3,Данные!C3)-(COUNTIFS(Данные!$B$2:$B$75,Данные!$B3,Данные!C$2:C$75,Данные!C3)+1)/2)*$S$10</f>
        <v>2</v>
      </c>
    </row>
    <row r="14" spans="1:19" x14ac:dyDescent="0.25">
      <c r="A14" s="5" t="s">
        <v>41</v>
      </c>
      <c r="B14" s="8">
        <f>TDIST(ABS(B13*SQRT((B12-2)/(1-B13^2))),B12-2,2)</f>
        <v>2.4147451141798761E-2</v>
      </c>
      <c r="C14" s="5"/>
      <c r="D14" s="5"/>
      <c r="E14" s="5">
        <f>Данные!C7</f>
        <v>16</v>
      </c>
      <c r="F14" s="5">
        <f>Данные!C5</f>
        <v>12</v>
      </c>
      <c r="G14" s="5">
        <f>Данные!C24</f>
        <v>15</v>
      </c>
      <c r="H14" s="5">
        <f>Данные!C36</f>
        <v>14</v>
      </c>
      <c r="I14" s="5">
        <f>Данные!C68</f>
        <v>11</v>
      </c>
      <c r="J14" s="5"/>
      <c r="K14" s="5">
        <f>_xlfn.RANK.AVG(Данные!B4,Данные!$B$2:$B$75,1)</f>
        <v>13.5</v>
      </c>
      <c r="L14" s="5">
        <f>_xlfn.RANK.AVG(Данные!C4,Данные!$C$2:$C$75,1)</f>
        <v>57</v>
      </c>
      <c r="M14" s="5"/>
      <c r="N14" s="5"/>
      <c r="O14" s="5">
        <f>Данные!B4+(-0.105)</f>
        <v>1.895</v>
      </c>
      <c r="P14" s="5">
        <f>Данные!C4</f>
        <v>18</v>
      </c>
      <c r="Q14" s="5"/>
      <c r="S14">
        <f>Данные!$B4+(COUNTIFS(Данные!$B$2:$B4,Данные!$B4,Данные!C$2:C4,Данные!C4)-(COUNTIFS(Данные!$B$2:$B$75,Данные!$B4,Данные!C$2:C$75,Данные!C4)+1)/2)*$S$10</f>
        <v>1.96</v>
      </c>
    </row>
    <row r="15" spans="1:19" x14ac:dyDescent="0.25">
      <c r="A15" s="5" t="s">
        <v>42</v>
      </c>
      <c r="B15" s="8">
        <f>INTERCEPT(Данные!$C$2:$C$75,Данные!$B$2:$B$75)</f>
        <v>18.627885215221461</v>
      </c>
      <c r="C15" s="5"/>
      <c r="D15" s="5"/>
      <c r="E15" s="5">
        <f>Данные!C8</f>
        <v>20</v>
      </c>
      <c r="F15" s="5">
        <f>Данные!C9</f>
        <v>17</v>
      </c>
      <c r="G15" s="5">
        <f>Данные!C25</f>
        <v>12</v>
      </c>
      <c r="H15" s="5">
        <f>Данные!C39</f>
        <v>18</v>
      </c>
      <c r="I15" s="5">
        <f>Данные!C71</f>
        <v>13</v>
      </c>
      <c r="J15" s="5"/>
      <c r="K15" s="5">
        <f>_xlfn.RANK.AVG(Данные!B5,Данные!$B$2:$B$75,1)</f>
        <v>13.5</v>
      </c>
      <c r="L15" s="5">
        <f>_xlfn.RANK.AVG(Данные!C5,Данные!$C$2:$C$75,1)</f>
        <v>21</v>
      </c>
      <c r="M15" s="5"/>
      <c r="N15" s="5"/>
      <c r="O15" s="5">
        <f>Данные!B5+(-0.105)</f>
        <v>1.895</v>
      </c>
      <c r="P15" s="5">
        <f>Данные!C5</f>
        <v>12</v>
      </c>
      <c r="Q15" s="5"/>
      <c r="S15">
        <f>Данные!$B5+(COUNTIFS(Данные!$B$2:$B5,Данные!$B5,Данные!C$2:C5,Данные!C5)-(COUNTIFS(Данные!$B$2:$B$75,Данные!$B5,Данные!C$2:C$75,Данные!C5)+1)/2)*$S$10</f>
        <v>2</v>
      </c>
    </row>
    <row r="16" spans="1:19" x14ac:dyDescent="0.25">
      <c r="A16" s="5" t="s">
        <v>43</v>
      </c>
      <c r="B16" s="8">
        <f>SLOPE(Данные!$C$2:$C$75,Данные!$B$2:$B$75)</f>
        <v>-1.273549594510293</v>
      </c>
      <c r="C16" s="5"/>
      <c r="D16" s="5"/>
      <c r="E16" s="5">
        <f>Данные!C11</f>
        <v>28</v>
      </c>
      <c r="F16" s="5">
        <f>Данные!C10</f>
        <v>21</v>
      </c>
      <c r="G16" s="5">
        <f>Данные!C26</f>
        <v>18</v>
      </c>
      <c r="H16" s="5">
        <f>Данные!C41</f>
        <v>11</v>
      </c>
      <c r="I16" s="5">
        <f>Данные!C72</f>
        <v>14</v>
      </c>
      <c r="J16" s="5"/>
      <c r="K16" s="5">
        <f>_xlfn.RANK.AVG(Данные!B6,Данные!$B$2:$B$75,1)</f>
        <v>4</v>
      </c>
      <c r="L16" s="5">
        <f>_xlfn.RANK.AVG(Данные!C6,Данные!$C$2:$C$75,1)</f>
        <v>17.5</v>
      </c>
      <c r="M16" s="5"/>
      <c r="N16" s="5"/>
      <c r="O16" s="5">
        <f>Данные!B6+(-0.105)</f>
        <v>0.89500000000000002</v>
      </c>
      <c r="P16" s="5">
        <f>Данные!C6</f>
        <v>11</v>
      </c>
      <c r="Q16" s="5"/>
      <c r="S16">
        <f>Данные!$B6+(COUNTIFS(Данные!$B$2:$B6,Данные!$B6,Данные!C$2:C6,Данные!C6)-(COUNTIFS(Данные!$B$2:$B$75,Данные!$B6,Данные!C$2:C$75,Данные!C6)+1)/2)*$S$10</f>
        <v>1</v>
      </c>
    </row>
    <row r="17" spans="1:19" x14ac:dyDescent="0.25">
      <c r="A17" s="5" t="s">
        <v>44</v>
      </c>
      <c r="B17" s="8">
        <f>RSQ(Данные!$C$2:$C$75,Данные!$B$2:$B$75)</f>
        <v>6.6695778134734748E-2</v>
      </c>
      <c r="C17" s="5"/>
      <c r="D17" s="5"/>
      <c r="E17" s="5">
        <f>Данные!C13</f>
        <v>14</v>
      </c>
      <c r="F17" s="5">
        <f>Данные!C12</f>
        <v>19</v>
      </c>
      <c r="G17" s="5">
        <f>Данные!C27</f>
        <v>16</v>
      </c>
      <c r="H17" s="5">
        <f>Данные!C43</f>
        <v>14</v>
      </c>
      <c r="I17" s="5">
        <f>Данные!C73</f>
        <v>11</v>
      </c>
      <c r="J17" s="5"/>
      <c r="K17" s="5">
        <f>_xlfn.RANK.AVG(Данные!B7,Данные!$B$2:$B$75,1)</f>
        <v>4</v>
      </c>
      <c r="L17" s="5">
        <f>_xlfn.RANK.AVG(Данные!C7,Данные!$C$2:$C$75,1)</f>
        <v>50</v>
      </c>
      <c r="M17" s="5"/>
      <c r="N17" s="5"/>
      <c r="O17" s="5">
        <f>Данные!B7+(-0.105)</f>
        <v>0.89500000000000002</v>
      </c>
      <c r="P17" s="5">
        <f>Данные!C7</f>
        <v>16</v>
      </c>
      <c r="Q17" s="5"/>
      <c r="S17">
        <f>Данные!$B7+(COUNTIFS(Данные!$B$2:$B7,Данные!$B7,Данные!C$2:C7,Данные!C7)-(COUNTIFS(Данные!$B$2:$B$75,Данные!$B7,Данные!C$2:C$75,Данные!C7)+1)/2)*$S$10</f>
        <v>1</v>
      </c>
    </row>
    <row r="18" spans="1:19" x14ac:dyDescent="0.25">
      <c r="A18" s="5" t="s">
        <v>45</v>
      </c>
      <c r="B18" s="8">
        <f>STEYX(Данные!$C$2:$C$75,Данные!$B$2:$B$75)</f>
        <v>5.2262833749252868</v>
      </c>
      <c r="C18" s="5"/>
      <c r="D18" s="5"/>
      <c r="E18" s="5">
        <f>Данные!C14</f>
        <v>13</v>
      </c>
      <c r="F18" s="5">
        <f>Данные!C15</f>
        <v>16</v>
      </c>
      <c r="G18" s="5">
        <f>Данные!C28</f>
        <v>14</v>
      </c>
      <c r="H18" s="5">
        <f>Данные!C46</f>
        <v>15</v>
      </c>
      <c r="I18" s="5"/>
      <c r="J18" s="5"/>
      <c r="K18" s="5">
        <f>_xlfn.RANK.AVG(Данные!B8,Данные!$B$2:$B$75,1)</f>
        <v>4</v>
      </c>
      <c r="L18" s="5">
        <f>_xlfn.RANK.AVG(Данные!C8,Данные!$C$2:$C$75,1)</f>
        <v>65</v>
      </c>
      <c r="M18" s="5"/>
      <c r="N18" s="5"/>
      <c r="O18" s="5">
        <f>Данные!B8+(-0.105)</f>
        <v>0.89500000000000002</v>
      </c>
      <c r="P18" s="5">
        <f>Данные!C8</f>
        <v>20</v>
      </c>
      <c r="Q18" s="5"/>
      <c r="S18">
        <f>Данные!$B8+(COUNTIFS(Данные!$B$2:$B8,Данные!$B8,Данные!C$2:C8,Данные!C8)-(COUNTIFS(Данные!$B$2:$B$75,Данные!$B8,Данные!C$2:C$75,Данные!C8)+1)/2)*$S$10</f>
        <v>1</v>
      </c>
    </row>
    <row r="19" spans="1:19" x14ac:dyDescent="0.25">
      <c r="A19" s="5" t="s">
        <v>46</v>
      </c>
      <c r="B19" s="8">
        <f>B18/SQRT(DEVSQ(Данные!$B$2:$B$75))</f>
        <v>0.56145125505940785</v>
      </c>
      <c r="C19" s="5"/>
      <c r="D19" s="5"/>
      <c r="E19" s="5"/>
      <c r="F19" s="5">
        <f>Данные!C16</f>
        <v>23</v>
      </c>
      <c r="G19" s="5">
        <f>Данные!C29</f>
        <v>14</v>
      </c>
      <c r="H19" s="5">
        <f>Данные!C48</f>
        <v>14</v>
      </c>
      <c r="I19" s="5"/>
      <c r="J19" s="5"/>
      <c r="K19" s="5">
        <f>_xlfn.RANK.AVG(Данные!B9,Данные!$B$2:$B$75,1)</f>
        <v>13.5</v>
      </c>
      <c r="L19" s="5">
        <f>_xlfn.RANK.AVG(Данные!C9,Данные!$C$2:$C$75,1)</f>
        <v>53.5</v>
      </c>
      <c r="M19" s="5"/>
      <c r="N19" s="5"/>
      <c r="O19" s="5">
        <f>Данные!B9+(-0.105)</f>
        <v>1.895</v>
      </c>
      <c r="P19" s="5">
        <f>Данные!C9</f>
        <v>17</v>
      </c>
      <c r="Q19" s="5"/>
      <c r="S19">
        <f>Данные!$B9+(COUNTIFS(Данные!$B$2:$B9,Данные!$B9,Данные!C$2:C9,Данные!C9)-(COUNTIFS(Данные!$B$2:$B$75,Данные!$B9,Данные!C$2:C$75,Данные!C9)+1)/2)*$S$10</f>
        <v>2</v>
      </c>
    </row>
    <row r="20" spans="1:19" x14ac:dyDescent="0.25">
      <c r="A20" s="5" t="s">
        <v>47</v>
      </c>
      <c r="B20" s="8">
        <f>B12-2</f>
        <v>72</v>
      </c>
      <c r="C20" s="5"/>
      <c r="D20" s="5"/>
      <c r="E20" s="5"/>
      <c r="F20" s="5">
        <f>Данные!C17</f>
        <v>19</v>
      </c>
      <c r="G20" s="5">
        <f>Данные!C30</f>
        <v>5</v>
      </c>
      <c r="H20" s="5">
        <f>Данные!C53</f>
        <v>21</v>
      </c>
      <c r="I20" s="5"/>
      <c r="J20" s="5"/>
      <c r="K20" s="5">
        <f>_xlfn.RANK.AVG(Данные!B10,Данные!$B$2:$B$75,1)</f>
        <v>13.5</v>
      </c>
      <c r="L20" s="5">
        <f>_xlfn.RANK.AVG(Данные!C10,Данные!$C$2:$C$75,1)</f>
        <v>67.5</v>
      </c>
      <c r="M20" s="5"/>
      <c r="N20" s="5"/>
      <c r="O20" s="5">
        <f>Данные!B10+(-0.105)</f>
        <v>1.895</v>
      </c>
      <c r="P20" s="5">
        <f>Данные!C10</f>
        <v>21</v>
      </c>
      <c r="Q20" s="5"/>
      <c r="S20">
        <f>Данные!$B10+(COUNTIFS(Данные!$B$2:$B10,Данные!$B10,Данные!C$2:C10,Данные!C10)-(COUNTIFS(Данные!$B$2:$B$75,Данные!$B10,Данные!C$2:C$75,Данные!C10)+1)/2)*$S$10</f>
        <v>2</v>
      </c>
    </row>
    <row r="21" spans="1:19" x14ac:dyDescent="0.25">
      <c r="A21" s="5" t="s">
        <v>48</v>
      </c>
      <c r="B21" s="8">
        <f>B16/B19</f>
        <v>-2.2683172992026481</v>
      </c>
      <c r="C21" s="5"/>
      <c r="D21" s="5"/>
      <c r="E21" s="5"/>
      <c r="F21" s="5">
        <f>Данные!C18</f>
        <v>27</v>
      </c>
      <c r="G21" s="5">
        <f>Данные!C32</f>
        <v>14</v>
      </c>
      <c r="H21" s="5">
        <f>Данные!C55</f>
        <v>19</v>
      </c>
      <c r="I21" s="5"/>
      <c r="J21" s="5"/>
      <c r="K21" s="5">
        <f>_xlfn.RANK.AVG(Данные!B11,Данные!$B$2:$B$75,1)</f>
        <v>4</v>
      </c>
      <c r="L21" s="5">
        <f>_xlfn.RANK.AVG(Данные!C11,Данные!$C$2:$C$75,1)</f>
        <v>73</v>
      </c>
      <c r="M21" s="5"/>
      <c r="N21" s="5"/>
      <c r="O21" s="5">
        <f>Данные!B11+(-0.105)</f>
        <v>0.89500000000000002</v>
      </c>
      <c r="P21" s="5">
        <f>Данные!C11</f>
        <v>28</v>
      </c>
      <c r="Q21" s="5"/>
      <c r="S21">
        <f>Данные!$B11+(COUNTIFS(Данные!$B$2:$B11,Данные!$B11,Данные!C$2:C11,Данные!C11)-(COUNTIFS(Данные!$B$2:$B$75,Данные!$B11,Данные!C$2:C$75,Данные!C11)+1)/2)*$S$10</f>
        <v>1</v>
      </c>
    </row>
    <row r="22" spans="1:19" x14ac:dyDescent="0.25">
      <c r="A22" s="5" t="s">
        <v>49</v>
      </c>
      <c r="B22" s="8">
        <f>TDIST(ABS(B21),B20,2)</f>
        <v>2.6309846478863436E-2</v>
      </c>
      <c r="C22" s="5"/>
      <c r="D22" s="5"/>
      <c r="E22" s="5"/>
      <c r="F22" s="5">
        <f>Данные!C19</f>
        <v>18</v>
      </c>
      <c r="G22" s="5">
        <f>Данные!C33</f>
        <v>28</v>
      </c>
      <c r="H22" s="5">
        <f>Данные!C56</f>
        <v>20</v>
      </c>
      <c r="I22" s="5"/>
      <c r="J22" s="5"/>
      <c r="K22" s="5">
        <f>_xlfn.RANK.AVG(Данные!B12,Данные!$B$2:$B$75,1)</f>
        <v>13.5</v>
      </c>
      <c r="L22" s="5">
        <f>_xlfn.RANK.AVG(Данные!C12,Данные!$C$2:$C$75,1)</f>
        <v>61.5</v>
      </c>
      <c r="M22" s="5"/>
      <c r="N22" s="5"/>
      <c r="O22" s="5">
        <f>Данные!B12+(-0.105)</f>
        <v>1.895</v>
      </c>
      <c r="P22" s="5">
        <f>Данные!C12</f>
        <v>19</v>
      </c>
      <c r="Q22" s="5"/>
      <c r="S22">
        <f>Данные!$B12+(COUNTIFS(Данные!$B$2:$B12,Данные!$B12,Данные!C$2:C12,Данные!C12)-(COUNTIFS(Данные!$B$2:$B$75,Данные!$B12,Данные!C$2:C$75,Данные!C12)+1)/2)*$S$10</f>
        <v>1.96</v>
      </c>
    </row>
    <row r="23" spans="1:19" x14ac:dyDescent="0.25">
      <c r="A23" s="5" t="s">
        <v>50</v>
      </c>
      <c r="B23" s="8">
        <f>Q190</f>
        <v>1.9934635664685629</v>
      </c>
      <c r="C23" s="5"/>
      <c r="D23" s="5"/>
      <c r="E23" s="5"/>
      <c r="F23" s="5">
        <f>Данные!C20</f>
        <v>25</v>
      </c>
      <c r="G23" s="5">
        <f>Данные!C34</f>
        <v>17</v>
      </c>
      <c r="H23" s="5">
        <f>Данные!C57</f>
        <v>7</v>
      </c>
      <c r="I23" s="5"/>
      <c r="J23" s="5"/>
      <c r="K23" s="5">
        <f>_xlfn.RANK.AVG(Данные!B13,Данные!$B$2:$B$75,1)</f>
        <v>4</v>
      </c>
      <c r="L23" s="5">
        <f>_xlfn.RANK.AVG(Данные!C13,Данные!$C$2:$C$75,1)</f>
        <v>35</v>
      </c>
      <c r="M23" s="5"/>
      <c r="N23" s="5"/>
      <c r="O23" s="5">
        <f>Данные!B13+(-0.105)</f>
        <v>0.89500000000000002</v>
      </c>
      <c r="P23" s="5">
        <f>Данные!C13</f>
        <v>14</v>
      </c>
      <c r="Q23" s="5"/>
      <c r="S23">
        <f>Данные!$B13+(COUNTIFS(Данные!$B$2:$B13,Данные!$B13,Данные!C$2:C13,Данные!C13)-(COUNTIFS(Данные!$B$2:$B$75,Данные!$B13,Данные!C$2:C$75,Данные!C13)+1)/2)*$S$10</f>
        <v>1</v>
      </c>
    </row>
    <row r="24" spans="1:19" x14ac:dyDescent="0.25">
      <c r="A24" s="5"/>
      <c r="B24" s="5"/>
      <c r="C24" s="5"/>
      <c r="D24" s="5"/>
      <c r="E24" s="5"/>
      <c r="F24" s="5"/>
      <c r="G24" s="5">
        <f>Данные!C35</f>
        <v>8</v>
      </c>
      <c r="H24" s="5">
        <f>Данные!C58</f>
        <v>15</v>
      </c>
      <c r="I24" s="5"/>
      <c r="J24" s="5"/>
      <c r="K24" s="5">
        <f>_xlfn.RANK.AVG(Данные!B14,Данные!$B$2:$B$75,1)</f>
        <v>4</v>
      </c>
      <c r="L24" s="5">
        <f>_xlfn.RANK.AVG(Данные!C14,Данные!$C$2:$C$75,1)</f>
        <v>25.5</v>
      </c>
      <c r="M24" s="5"/>
      <c r="N24" s="5"/>
      <c r="O24" s="5">
        <f>Данные!B14+(-0.07)</f>
        <v>0.92999999999999994</v>
      </c>
      <c r="P24" s="5">
        <f>Данные!C14</f>
        <v>13</v>
      </c>
      <c r="Q24" s="5"/>
      <c r="S24">
        <f>Данные!$B14+(COUNTIFS(Данные!$B$2:$B14,Данные!$B14,Данные!C$2:C14,Данные!C14)-(COUNTIFS(Данные!$B$2:$B$75,Данные!$B14,Данные!C$2:C$75,Данные!C14)+1)/2)*$S$10</f>
        <v>1.04</v>
      </c>
    </row>
    <row r="25" spans="1:19" x14ac:dyDescent="0.25">
      <c r="A25" s="5"/>
      <c r="B25" s="5"/>
      <c r="C25" s="5"/>
      <c r="D25" s="5"/>
      <c r="E25" s="5"/>
      <c r="F25" s="5"/>
      <c r="G25" s="5">
        <f>Данные!C37</f>
        <v>13</v>
      </c>
      <c r="H25" s="5">
        <f>Данные!C59</f>
        <v>14</v>
      </c>
      <c r="I25" s="5"/>
      <c r="J25" s="5"/>
      <c r="K25" s="5">
        <f>_xlfn.RANK.AVG(Данные!B15,Данные!$B$2:$B$75,1)</f>
        <v>13.5</v>
      </c>
      <c r="L25" s="5">
        <f>_xlfn.RANK.AVG(Данные!C15,Данные!$C$2:$C$75,1)</f>
        <v>50</v>
      </c>
      <c r="M25" s="5"/>
      <c r="N25" s="5"/>
      <c r="O25" s="5">
        <f>Данные!B15+(-0.105)</f>
        <v>1.895</v>
      </c>
      <c r="P25" s="5">
        <f>Данные!C15</f>
        <v>16</v>
      </c>
      <c r="Q25" s="5"/>
      <c r="S25">
        <f>Данные!$B15+(COUNTIFS(Данные!$B$2:$B15,Данные!$B15,Данные!C$2:C15,Данные!C15)-(COUNTIFS(Данные!$B$2:$B$75,Данные!$B15,Данные!C$2:C$75,Данные!C15)+1)/2)*$S$10</f>
        <v>2</v>
      </c>
    </row>
    <row r="26" spans="1:19" x14ac:dyDescent="0.25">
      <c r="A26" s="5"/>
      <c r="B26" s="5"/>
      <c r="C26" s="5"/>
      <c r="D26" s="5"/>
      <c r="E26" s="5"/>
      <c r="F26" s="5"/>
      <c r="G26" s="5">
        <f>Данные!C38</f>
        <v>20</v>
      </c>
      <c r="H26" s="5">
        <f>Данные!C60</f>
        <v>15</v>
      </c>
      <c r="I26" s="5"/>
      <c r="J26" s="5"/>
      <c r="K26" s="5">
        <f>_xlfn.RANK.AVG(Данные!B16,Данные!$B$2:$B$75,1)</f>
        <v>13.5</v>
      </c>
      <c r="L26" s="5">
        <f>_xlfn.RANK.AVG(Данные!C16,Данные!$C$2:$C$75,1)</f>
        <v>69</v>
      </c>
      <c r="M26" s="5"/>
      <c r="N26" s="5"/>
      <c r="O26" s="5">
        <f>Данные!B16+(-0.105)</f>
        <v>1.895</v>
      </c>
      <c r="P26" s="5">
        <f>Данные!C16</f>
        <v>23</v>
      </c>
      <c r="Q26" s="5"/>
      <c r="S26">
        <f>Данные!$B16+(COUNTIFS(Данные!$B$2:$B16,Данные!$B16,Данные!C$2:C16,Данные!C16)-(COUNTIFS(Данные!$B$2:$B$75,Данные!$B16,Данные!C$2:C$75,Данные!C16)+1)/2)*$S$10</f>
        <v>2</v>
      </c>
    </row>
    <row r="27" spans="1:19" x14ac:dyDescent="0.25">
      <c r="A27" s="5"/>
      <c r="B27" s="5"/>
      <c r="C27" s="5"/>
      <c r="D27" s="5"/>
      <c r="E27" s="5"/>
      <c r="F27" s="5"/>
      <c r="G27" s="5">
        <f>Данные!C40</f>
        <v>16</v>
      </c>
      <c r="H27" s="5">
        <f>Данные!C62</f>
        <v>10</v>
      </c>
      <c r="I27" s="5"/>
      <c r="J27" s="5"/>
      <c r="K27" s="5">
        <f>_xlfn.RANK.AVG(Данные!B17,Данные!$B$2:$B$75,1)</f>
        <v>13.5</v>
      </c>
      <c r="L27" s="5">
        <f>_xlfn.RANK.AVG(Данные!C17,Данные!$C$2:$C$75,1)</f>
        <v>61.5</v>
      </c>
      <c r="M27" s="5"/>
      <c r="N27" s="5"/>
      <c r="O27" s="5">
        <f>Данные!B17+(-0.07)</f>
        <v>1.93</v>
      </c>
      <c r="P27" s="5">
        <f>Данные!C17</f>
        <v>19</v>
      </c>
      <c r="Q27" s="5"/>
      <c r="S27">
        <f>Данные!$B17+(COUNTIFS(Данные!$B$2:$B17,Данные!$B17,Данные!C$2:C17,Данные!C17)-(COUNTIFS(Данные!$B$2:$B$75,Данные!$B17,Данные!C$2:C$75,Данные!C17)+1)/2)*$S$10</f>
        <v>2.04</v>
      </c>
    </row>
    <row r="28" spans="1:19" x14ac:dyDescent="0.25">
      <c r="A28" s="5"/>
      <c r="B28" s="5"/>
      <c r="C28" s="5"/>
      <c r="D28" s="5"/>
      <c r="E28" s="5"/>
      <c r="F28" s="5"/>
      <c r="G28" s="5">
        <f>Данные!C42</f>
        <v>16</v>
      </c>
      <c r="H28" s="5">
        <f>Данные!C63</f>
        <v>13</v>
      </c>
      <c r="I28" s="5"/>
      <c r="J28" s="5"/>
      <c r="K28" s="5">
        <f>_xlfn.RANK.AVG(Данные!B18,Данные!$B$2:$B$75,1)</f>
        <v>13.5</v>
      </c>
      <c r="L28" s="5">
        <f>_xlfn.RANK.AVG(Данные!C18,Данные!$C$2:$C$75,1)</f>
        <v>71</v>
      </c>
      <c r="M28" s="5"/>
      <c r="N28" s="5"/>
      <c r="O28" s="5">
        <f>Данные!B18+(-0.105)</f>
        <v>1.895</v>
      </c>
      <c r="P28" s="5">
        <f>Данные!C18</f>
        <v>27</v>
      </c>
      <c r="Q28" s="5"/>
      <c r="S28">
        <f>Данные!$B18+(COUNTIFS(Данные!$B$2:$B18,Данные!$B18,Данные!C$2:C18,Данные!C18)-(COUNTIFS(Данные!$B$2:$B$75,Данные!$B18,Данные!C$2:C$75,Данные!C18)+1)/2)*$S$10</f>
        <v>2</v>
      </c>
    </row>
    <row r="29" spans="1:19" x14ac:dyDescent="0.25">
      <c r="A29" s="5"/>
      <c r="B29" s="5"/>
      <c r="C29" s="5"/>
      <c r="D29" s="5"/>
      <c r="E29" s="5"/>
      <c r="F29" s="5"/>
      <c r="G29" s="5">
        <f>Данные!C44</f>
        <v>7</v>
      </c>
      <c r="H29" s="5">
        <f>Данные!C64</f>
        <v>4</v>
      </c>
      <c r="I29" s="5"/>
      <c r="J29" s="5"/>
      <c r="K29" s="5">
        <f>_xlfn.RANK.AVG(Данные!B19,Данные!$B$2:$B$75,1)</f>
        <v>13.5</v>
      </c>
      <c r="L29" s="5">
        <f>_xlfn.RANK.AVG(Данные!C19,Данные!$C$2:$C$75,1)</f>
        <v>57</v>
      </c>
      <c r="M29" s="5"/>
      <c r="N29" s="5"/>
      <c r="O29" s="5">
        <f>Данные!B19+(-0.07)</f>
        <v>1.93</v>
      </c>
      <c r="P29" s="5">
        <f>Данные!C19</f>
        <v>18</v>
      </c>
      <c r="Q29" s="5"/>
      <c r="S29">
        <f>Данные!$B19+(COUNTIFS(Данные!$B$2:$B19,Данные!$B19,Данные!C$2:C19,Данные!C19)-(COUNTIFS(Данные!$B$2:$B$75,Данные!$B19,Данные!C$2:C$75,Данные!C19)+1)/2)*$S$10</f>
        <v>2.04</v>
      </c>
    </row>
    <row r="30" spans="1:19" x14ac:dyDescent="0.25">
      <c r="A30" s="5"/>
      <c r="B30" s="5"/>
      <c r="C30" s="5"/>
      <c r="D30" s="5"/>
      <c r="E30" s="5"/>
      <c r="F30" s="5"/>
      <c r="G30" s="5">
        <f>Данные!C45</f>
        <v>14</v>
      </c>
      <c r="H30" s="5">
        <f>Данные!C65</f>
        <v>15</v>
      </c>
      <c r="I30" s="5"/>
      <c r="J30" s="5"/>
      <c r="K30" s="5">
        <f>_xlfn.RANK.AVG(Данные!B20,Данные!$B$2:$B$75,1)</f>
        <v>13.5</v>
      </c>
      <c r="L30" s="5">
        <f>_xlfn.RANK.AVG(Данные!C20,Данные!$C$2:$C$75,1)</f>
        <v>70</v>
      </c>
      <c r="M30" s="5"/>
      <c r="N30" s="5"/>
      <c r="O30" s="5">
        <f>Данные!B20+(-0.105)</f>
        <v>1.895</v>
      </c>
      <c r="P30" s="5">
        <f>Данные!C20</f>
        <v>25</v>
      </c>
      <c r="Q30" s="5"/>
      <c r="S30">
        <f>Данные!$B20+(COUNTIFS(Данные!$B$2:$B20,Данные!$B20,Данные!C$2:C20,Данные!C20)-(COUNTIFS(Данные!$B$2:$B$75,Данные!$B20,Данные!C$2:C$75,Данные!C20)+1)/2)*$S$10</f>
        <v>2</v>
      </c>
    </row>
    <row r="31" spans="1:19" x14ac:dyDescent="0.25">
      <c r="A31" s="5"/>
      <c r="B31" s="5"/>
      <c r="C31" s="5"/>
      <c r="D31" s="5"/>
      <c r="E31" s="5"/>
      <c r="F31" s="5"/>
      <c r="G31" s="5">
        <f>Данные!C47</f>
        <v>14</v>
      </c>
      <c r="H31" s="5">
        <f>Данные!C66</f>
        <v>4</v>
      </c>
      <c r="I31" s="5"/>
      <c r="J31" s="5"/>
      <c r="K31" s="5">
        <f>_xlfn.RANK.AVG(Данные!B21,Данные!$B$2:$B$75,1)</f>
        <v>56.5</v>
      </c>
      <c r="L31" s="5">
        <f>_xlfn.RANK.AVG(Данные!C21,Данные!$C$2:$C$75,1)</f>
        <v>61.5</v>
      </c>
      <c r="M31" s="5"/>
      <c r="N31" s="5"/>
      <c r="O31" s="5">
        <f>Данные!B21+(-0.105)</f>
        <v>3.895</v>
      </c>
      <c r="P31" s="5">
        <f>Данные!C21</f>
        <v>19</v>
      </c>
      <c r="Q31" s="5"/>
      <c r="S31">
        <f>Данные!$B21+(COUNTIFS(Данные!$B$2:$B21,Данные!$B21,Данные!C$2:C21,Данные!C21)-(COUNTIFS(Данные!$B$2:$B$75,Данные!$B21,Данные!C$2:C$75,Данные!C21)+1)/2)*$S$10</f>
        <v>3.96</v>
      </c>
    </row>
    <row r="32" spans="1:19" x14ac:dyDescent="0.25">
      <c r="A32" s="5"/>
      <c r="B32" s="5"/>
      <c r="C32" s="5"/>
      <c r="D32" s="5"/>
      <c r="E32" s="5"/>
      <c r="F32" s="5"/>
      <c r="G32" s="5">
        <f>Данные!C49</f>
        <v>7</v>
      </c>
      <c r="H32" s="5">
        <f>Данные!C69</f>
        <v>14</v>
      </c>
      <c r="I32" s="5"/>
      <c r="J32" s="5"/>
      <c r="K32" s="5">
        <f>_xlfn.RANK.AVG(Данные!B22,Данные!$B$2:$B$75,1)</f>
        <v>32</v>
      </c>
      <c r="L32" s="5">
        <f>_xlfn.RANK.AVG(Данные!C22,Данные!$C$2:$C$75,1)</f>
        <v>12</v>
      </c>
      <c r="M32" s="5"/>
      <c r="N32" s="5"/>
      <c r="O32" s="5">
        <f>Данные!B22+(-0.105)</f>
        <v>2.895</v>
      </c>
      <c r="P32" s="5">
        <f>Данные!C22</f>
        <v>9</v>
      </c>
      <c r="Q32" s="5"/>
      <c r="S32">
        <f>Данные!$B22+(COUNTIFS(Данные!$B$2:$B22,Данные!$B22,Данные!C$2:C22,Данные!C22)-(COUNTIFS(Данные!$B$2:$B$75,Данные!$B22,Данные!C$2:C$75,Данные!C22)+1)/2)*$S$10</f>
        <v>3</v>
      </c>
    </row>
    <row r="33" spans="1:19" x14ac:dyDescent="0.25">
      <c r="A33" s="5"/>
      <c r="B33" s="5"/>
      <c r="C33" s="5"/>
      <c r="D33" s="5"/>
      <c r="E33" s="5"/>
      <c r="F33" s="5"/>
      <c r="G33" s="5">
        <f>Данные!C50</f>
        <v>14</v>
      </c>
      <c r="H33" s="5">
        <f>Данные!C70</f>
        <v>8</v>
      </c>
      <c r="I33" s="5"/>
      <c r="J33" s="5"/>
      <c r="K33" s="5">
        <f>_xlfn.RANK.AVG(Данные!B23,Данные!$B$2:$B$75,1)</f>
        <v>32</v>
      </c>
      <c r="L33" s="5">
        <f>_xlfn.RANK.AVG(Данные!C23,Данные!$C$2:$C$75,1)</f>
        <v>9.5</v>
      </c>
      <c r="M33" s="5"/>
      <c r="N33" s="5"/>
      <c r="O33" s="5">
        <f>Данные!B23+(-0.105)</f>
        <v>2.895</v>
      </c>
      <c r="P33" s="5">
        <f>Данные!C23</f>
        <v>8</v>
      </c>
      <c r="Q33" s="5"/>
      <c r="S33">
        <f>Данные!$B23+(COUNTIFS(Данные!$B$2:$B23,Данные!$B23,Данные!C$2:C23,Данные!C23)-(COUNTIFS(Данные!$B$2:$B$75,Данные!$B23,Данные!C$2:C$75,Данные!C23)+1)/2)*$S$10</f>
        <v>2.96</v>
      </c>
    </row>
    <row r="34" spans="1:19" x14ac:dyDescent="0.25">
      <c r="A34" s="5"/>
      <c r="B34" s="5"/>
      <c r="C34" s="5"/>
      <c r="D34" s="5"/>
      <c r="E34" s="5"/>
      <c r="F34" s="5"/>
      <c r="G34" s="5">
        <f>Данные!C51</f>
        <v>10</v>
      </c>
      <c r="H34" s="5">
        <f>Данные!C74</f>
        <v>12</v>
      </c>
      <c r="I34" s="5"/>
      <c r="J34" s="5"/>
      <c r="K34" s="5">
        <f>_xlfn.RANK.AVG(Данные!B24,Данные!$B$2:$B$75,1)</f>
        <v>32</v>
      </c>
      <c r="L34" s="5">
        <f>_xlfn.RANK.AVG(Данные!C24,Данные!$C$2:$C$75,1)</f>
        <v>44.5</v>
      </c>
      <c r="M34" s="5"/>
      <c r="N34" s="5"/>
      <c r="O34" s="5">
        <f>Данные!B24+(-0.105)</f>
        <v>2.895</v>
      </c>
      <c r="P34" s="5">
        <f>Данные!C24</f>
        <v>15</v>
      </c>
      <c r="Q34" s="5"/>
      <c r="S34">
        <f>Данные!$B24+(COUNTIFS(Данные!$B$2:$B24,Данные!$B24,Данные!C$2:C24,Данные!C24)-(COUNTIFS(Данные!$B$2:$B$75,Данные!$B24,Данные!C$2:C$75,Данные!C24)+1)/2)*$S$10</f>
        <v>3</v>
      </c>
    </row>
    <row r="35" spans="1:19" x14ac:dyDescent="0.25">
      <c r="A35" s="5"/>
      <c r="B35" s="5"/>
      <c r="C35" s="5"/>
      <c r="D35" s="5"/>
      <c r="E35" s="5"/>
      <c r="F35" s="5"/>
      <c r="G35" s="5">
        <f>Данные!C52</f>
        <v>13</v>
      </c>
      <c r="H35" s="5">
        <f>Данные!C75</f>
        <v>10</v>
      </c>
      <c r="I35" s="5"/>
      <c r="J35" s="5"/>
      <c r="K35" s="5">
        <f>_xlfn.RANK.AVG(Данные!B25,Данные!$B$2:$B$75,1)</f>
        <v>32</v>
      </c>
      <c r="L35" s="5">
        <f>_xlfn.RANK.AVG(Данные!C25,Данные!$C$2:$C$75,1)</f>
        <v>21</v>
      </c>
      <c r="M35" s="5"/>
      <c r="N35" s="5"/>
      <c r="O35" s="5">
        <f>Данные!B25+(-0.105)</f>
        <v>2.895</v>
      </c>
      <c r="P35" s="5">
        <f>Данные!C25</f>
        <v>12</v>
      </c>
      <c r="Q35" s="5"/>
      <c r="S35">
        <f>Данные!$B25+(COUNTIFS(Данные!$B$2:$B25,Данные!$B25,Данные!C$2:C25,Данные!C25)-(COUNTIFS(Данные!$B$2:$B$75,Данные!$B25,Данные!C$2:C$75,Данные!C25)+1)/2)*$S$10</f>
        <v>3</v>
      </c>
    </row>
    <row r="36" spans="1:19" x14ac:dyDescent="0.25">
      <c r="A36" s="5"/>
      <c r="B36" s="5"/>
      <c r="C36" s="5"/>
      <c r="D36" s="5"/>
      <c r="E36" s="5"/>
      <c r="F36" s="5"/>
      <c r="G36" s="5">
        <f>Данные!C54</f>
        <v>18</v>
      </c>
      <c r="H36" s="5"/>
      <c r="I36" s="5"/>
      <c r="J36" s="5"/>
      <c r="K36" s="5">
        <f>_xlfn.RANK.AVG(Данные!B26,Данные!$B$2:$B$75,1)</f>
        <v>32</v>
      </c>
      <c r="L36" s="5">
        <f>_xlfn.RANK.AVG(Данные!C26,Данные!$C$2:$C$75,1)</f>
        <v>57</v>
      </c>
      <c r="M36" s="5"/>
      <c r="N36" s="5"/>
      <c r="O36" s="5">
        <f>Данные!B26+(-0.105)</f>
        <v>2.895</v>
      </c>
      <c r="P36" s="5">
        <f>Данные!C26</f>
        <v>18</v>
      </c>
      <c r="Q36" s="5"/>
      <c r="S36">
        <f>Данные!$B26+(COUNTIFS(Данные!$B$2:$B26,Данные!$B26,Данные!C$2:C26,Данные!C26)-(COUNTIFS(Данные!$B$2:$B$75,Данные!$B26,Данные!C$2:C$75,Данные!C26)+1)/2)*$S$10</f>
        <v>2.96</v>
      </c>
    </row>
    <row r="37" spans="1:19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>
        <f>_xlfn.RANK.AVG(Данные!B27,Данные!$B$2:$B$75,1)</f>
        <v>32</v>
      </c>
      <c r="L37" s="5">
        <f>_xlfn.RANK.AVG(Данные!C27,Данные!$C$2:$C$75,1)</f>
        <v>50</v>
      </c>
      <c r="M37" s="5"/>
      <c r="N37" s="5"/>
      <c r="O37" s="5">
        <f>Данные!B27+(-0.105)</f>
        <v>2.895</v>
      </c>
      <c r="P37" s="5">
        <f>Данные!C27</f>
        <v>16</v>
      </c>
      <c r="Q37" s="5"/>
      <c r="S37">
        <f>Данные!$B27+(COUNTIFS(Данные!$B$2:$B27,Данные!$B27,Данные!C$2:C27,Данные!C27)-(COUNTIFS(Данные!$B$2:$B$75,Данные!$B27,Данные!C$2:C$75,Данные!C27)+1)/2)*$S$10</f>
        <v>2.92</v>
      </c>
    </row>
    <row r="38" spans="1:19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>
        <f>_xlfn.RANK.AVG(Данные!B28,Данные!$B$2:$B$75,1)</f>
        <v>32</v>
      </c>
      <c r="L38" s="5">
        <f>_xlfn.RANK.AVG(Данные!C28,Данные!$C$2:$C$75,1)</f>
        <v>35</v>
      </c>
      <c r="M38" s="5"/>
      <c r="N38" s="5"/>
      <c r="O38" s="5">
        <f>Данные!B28+(-0.105)</f>
        <v>2.895</v>
      </c>
      <c r="P38" s="5">
        <f>Данные!C28</f>
        <v>14</v>
      </c>
      <c r="Q38" s="5"/>
      <c r="S38">
        <f>Данные!$B28+(COUNTIFS(Данные!$B$2:$B28,Данные!$B28,Данные!C$2:C28,Данные!C28)-(COUNTIFS(Данные!$B$2:$B$75,Данные!$B28,Данные!C$2:C$75,Данные!C28)+1)/2)*$S$10</f>
        <v>2.8</v>
      </c>
    </row>
    <row r="39" spans="1:19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>
        <f>_xlfn.RANK.AVG(Данные!B29,Данные!$B$2:$B$75,1)</f>
        <v>32</v>
      </c>
      <c r="L39" s="5">
        <f>_xlfn.RANK.AVG(Данные!C29,Данные!$C$2:$C$75,1)</f>
        <v>35</v>
      </c>
      <c r="M39" s="5"/>
      <c r="N39" s="5"/>
      <c r="O39" s="5">
        <f>Данные!B29+(-0.07)</f>
        <v>2.93</v>
      </c>
      <c r="P39" s="5">
        <f>Данные!C29</f>
        <v>14</v>
      </c>
      <c r="Q39" s="5"/>
      <c r="S39">
        <f>Данные!$B29+(COUNTIFS(Данные!$B$2:$B29,Данные!$B29,Данные!C$2:C29,Данные!C29)-(COUNTIFS(Данные!$B$2:$B$75,Данные!$B29,Данные!C$2:C$75,Данные!C29)+1)/2)*$S$10</f>
        <v>2.88</v>
      </c>
    </row>
    <row r="40" spans="1:19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>
        <f>_xlfn.RANK.AVG(Данные!B30,Данные!$B$2:$B$75,1)</f>
        <v>32</v>
      </c>
      <c r="L40" s="5">
        <f>_xlfn.RANK.AVG(Данные!C30,Данные!$C$2:$C$75,1)</f>
        <v>3</v>
      </c>
      <c r="M40" s="5"/>
      <c r="N40" s="5"/>
      <c r="O40" s="5">
        <f>Данные!B30+(-0.105)</f>
        <v>2.895</v>
      </c>
      <c r="P40" s="5">
        <f>Данные!C30</f>
        <v>5</v>
      </c>
      <c r="Q40" s="5"/>
      <c r="S40">
        <f>Данные!$B30+(COUNTIFS(Данные!$B$2:$B30,Данные!$B30,Данные!C$2:C30,Данные!C30)-(COUNTIFS(Данные!$B$2:$B$75,Данные!$B30,Данные!C$2:C$75,Данные!C30)+1)/2)*$S$10</f>
        <v>3</v>
      </c>
    </row>
    <row r="41" spans="1:19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>
        <f>_xlfn.RANK.AVG(Данные!B31,Данные!$B$2:$B$75,1)</f>
        <v>56.5</v>
      </c>
      <c r="L41" s="5">
        <f>_xlfn.RANK.AVG(Данные!C31,Данные!$C$2:$C$75,1)</f>
        <v>44.5</v>
      </c>
      <c r="M41" s="5"/>
      <c r="N41" s="5"/>
      <c r="O41" s="5">
        <f>Данные!B31+(-0.105)</f>
        <v>3.895</v>
      </c>
      <c r="P41" s="5">
        <f>Данные!C31</f>
        <v>15</v>
      </c>
      <c r="Q41" s="5"/>
      <c r="S41">
        <f>Данные!$B31+(COUNTIFS(Данные!$B$2:$B31,Данные!$B31,Данные!C$2:C31,Данные!C31)-(COUNTIFS(Данные!$B$2:$B$75,Данные!$B31,Данные!C$2:C$75,Данные!C31)+1)/2)*$S$10</f>
        <v>3.84</v>
      </c>
    </row>
    <row r="42" spans="1:19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>
        <f>_xlfn.RANK.AVG(Данные!B32,Данные!$B$2:$B$75,1)</f>
        <v>32</v>
      </c>
      <c r="L42" s="5">
        <f>_xlfn.RANK.AVG(Данные!C32,Данные!$C$2:$C$75,1)</f>
        <v>35</v>
      </c>
      <c r="M42" s="5"/>
      <c r="N42" s="5"/>
      <c r="O42" s="5">
        <f>Данные!B32+(-0.035)</f>
        <v>2.9649999999999999</v>
      </c>
      <c r="P42" s="5">
        <f>Данные!C32</f>
        <v>14</v>
      </c>
      <c r="Q42" s="5"/>
      <c r="S42">
        <f>Данные!$B32+(COUNTIFS(Данные!$B$2:$B32,Данные!$B32,Данные!C$2:C32,Данные!C32)-(COUNTIFS(Данные!$B$2:$B$75,Данные!$B32,Данные!C$2:C$75,Данные!C32)+1)/2)*$S$10</f>
        <v>2.96</v>
      </c>
    </row>
    <row r="43" spans="1:19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>
        <f>_xlfn.RANK.AVG(Данные!B33,Данные!$B$2:$B$75,1)</f>
        <v>32</v>
      </c>
      <c r="L43" s="5">
        <f>_xlfn.RANK.AVG(Данные!C33,Данные!$C$2:$C$75,1)</f>
        <v>73</v>
      </c>
      <c r="M43" s="5"/>
      <c r="N43" s="5"/>
      <c r="O43" s="5">
        <f>Данные!B33+(-0.105)</f>
        <v>2.895</v>
      </c>
      <c r="P43" s="5">
        <f>Данные!C33</f>
        <v>28</v>
      </c>
      <c r="Q43" s="5"/>
      <c r="S43">
        <f>Данные!$B33+(COUNTIFS(Данные!$B$2:$B33,Данные!$B33,Данные!C$2:C33,Данные!C33)-(COUNTIFS(Данные!$B$2:$B$75,Данные!$B33,Данные!C$2:C$75,Данные!C33)+1)/2)*$S$10</f>
        <v>3</v>
      </c>
    </row>
    <row r="44" spans="1:19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>
        <f>_xlfn.RANK.AVG(Данные!B34,Данные!$B$2:$B$75,1)</f>
        <v>32</v>
      </c>
      <c r="L44" s="5">
        <f>_xlfn.RANK.AVG(Данные!C34,Данные!$C$2:$C$75,1)</f>
        <v>53.5</v>
      </c>
      <c r="M44" s="5"/>
      <c r="N44" s="5"/>
      <c r="O44" s="5">
        <f>Данные!B34+(-0.105)</f>
        <v>2.895</v>
      </c>
      <c r="P44" s="5">
        <f>Данные!C34</f>
        <v>17</v>
      </c>
      <c r="Q44" s="5"/>
      <c r="S44">
        <f>Данные!$B34+(COUNTIFS(Данные!$B$2:$B34,Данные!$B34,Данные!C$2:C34,Данные!C34)-(COUNTIFS(Данные!$B$2:$B$75,Данные!$B34,Данные!C$2:C$75,Данные!C34)+1)/2)*$S$10</f>
        <v>3</v>
      </c>
    </row>
    <row r="45" spans="1:19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>
        <f>_xlfn.RANK.AVG(Данные!B35,Данные!$B$2:$B$75,1)</f>
        <v>32</v>
      </c>
      <c r="L45" s="5">
        <f>_xlfn.RANK.AVG(Данные!C35,Данные!$C$2:$C$75,1)</f>
        <v>9.5</v>
      </c>
      <c r="M45" s="5"/>
      <c r="N45" s="5"/>
      <c r="O45" s="5">
        <f>Данные!B35+(-0.07)</f>
        <v>2.93</v>
      </c>
      <c r="P45" s="5">
        <f>Данные!C35</f>
        <v>8</v>
      </c>
      <c r="Q45" s="5"/>
      <c r="S45">
        <f>Данные!$B35+(COUNTIFS(Данные!$B$2:$B35,Данные!$B35,Данные!C$2:C35,Данные!C35)-(COUNTIFS(Данные!$B$2:$B$75,Данные!$B35,Данные!C$2:C$75,Данные!C35)+1)/2)*$S$10</f>
        <v>3.04</v>
      </c>
    </row>
    <row r="46" spans="1:19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>
        <f>_xlfn.RANK.AVG(Данные!B36,Данные!$B$2:$B$75,1)</f>
        <v>56.5</v>
      </c>
      <c r="L46" s="5">
        <f>_xlfn.RANK.AVG(Данные!C36,Данные!$C$2:$C$75,1)</f>
        <v>35</v>
      </c>
      <c r="M46" s="5"/>
      <c r="N46" s="5"/>
      <c r="O46" s="5">
        <f>Данные!B36+(-0.105)</f>
        <v>3.895</v>
      </c>
      <c r="P46" s="5">
        <f>Данные!C36</f>
        <v>14</v>
      </c>
      <c r="Q46" s="5"/>
      <c r="S46">
        <f>Данные!$B36+(COUNTIFS(Данные!$B$2:$B36,Данные!$B36,Данные!C$2:C36,Данные!C36)-(COUNTIFS(Данные!$B$2:$B$75,Данные!$B36,Данные!C$2:C$75,Данные!C36)+1)/2)*$S$10</f>
        <v>3.84</v>
      </c>
    </row>
    <row r="47" spans="1:19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>
        <f>_xlfn.RANK.AVG(Данные!B37,Данные!$B$2:$B$75,1)</f>
        <v>32</v>
      </c>
      <c r="L47" s="5">
        <f>_xlfn.RANK.AVG(Данные!C37,Данные!$C$2:$C$75,1)</f>
        <v>25.5</v>
      </c>
      <c r="M47" s="5"/>
      <c r="N47" s="5"/>
      <c r="O47" s="5">
        <f>Данные!B37+(-0.105)</f>
        <v>2.895</v>
      </c>
      <c r="P47" s="5">
        <f>Данные!C37</f>
        <v>13</v>
      </c>
      <c r="Q47" s="5"/>
      <c r="S47">
        <f>Данные!$B37+(COUNTIFS(Данные!$B$2:$B37,Данные!$B37,Данные!C$2:C37,Данные!C37)-(COUNTIFS(Данные!$B$2:$B$75,Данные!$B37,Данные!C$2:C$75,Данные!C37)+1)/2)*$S$10</f>
        <v>2.96</v>
      </c>
    </row>
    <row r="48" spans="1:19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>
        <f>_xlfn.RANK.AVG(Данные!B38,Данные!$B$2:$B$75,1)</f>
        <v>32</v>
      </c>
      <c r="L48" s="5">
        <f>_xlfn.RANK.AVG(Данные!C38,Данные!$C$2:$C$75,1)</f>
        <v>65</v>
      </c>
      <c r="M48" s="5"/>
      <c r="N48" s="5"/>
      <c r="O48" s="5">
        <f>Данные!B38+(-0.105)</f>
        <v>2.895</v>
      </c>
      <c r="P48" s="5">
        <f>Данные!C38</f>
        <v>20</v>
      </c>
      <c r="Q48" s="5"/>
      <c r="S48">
        <f>Данные!$B38+(COUNTIFS(Данные!$B$2:$B38,Данные!$B38,Данные!C$2:C38,Данные!C38)-(COUNTIFS(Данные!$B$2:$B$75,Данные!$B38,Данные!C$2:C$75,Данные!C38)+1)/2)*$S$10</f>
        <v>3</v>
      </c>
    </row>
    <row r="49" spans="1:19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>
        <f>_xlfn.RANK.AVG(Данные!B39,Данные!$B$2:$B$75,1)</f>
        <v>56.5</v>
      </c>
      <c r="L49" s="5">
        <f>_xlfn.RANK.AVG(Данные!C39,Данные!$C$2:$C$75,1)</f>
        <v>57</v>
      </c>
      <c r="M49" s="5"/>
      <c r="N49" s="5"/>
      <c r="O49" s="5">
        <f>Данные!B39+(-0.105)</f>
        <v>3.895</v>
      </c>
      <c r="P49" s="5">
        <f>Данные!C39</f>
        <v>18</v>
      </c>
      <c r="Q49" s="5"/>
      <c r="S49">
        <f>Данные!$B39+(COUNTIFS(Данные!$B$2:$B39,Данные!$B39,Данные!C$2:C39,Данные!C39)-(COUNTIFS(Данные!$B$2:$B$75,Данные!$B39,Данные!C$2:C$75,Данные!C39)+1)/2)*$S$10</f>
        <v>4</v>
      </c>
    </row>
    <row r="50" spans="1:19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>
        <f>_xlfn.RANK.AVG(Данные!B40,Данные!$B$2:$B$75,1)</f>
        <v>32</v>
      </c>
      <c r="L50" s="5">
        <f>_xlfn.RANK.AVG(Данные!C40,Данные!$C$2:$C$75,1)</f>
        <v>50</v>
      </c>
      <c r="M50" s="5"/>
      <c r="N50" s="5"/>
      <c r="O50" s="5">
        <f>Данные!B40+(-0.07)</f>
        <v>2.93</v>
      </c>
      <c r="P50" s="5">
        <f>Данные!C40</f>
        <v>16</v>
      </c>
      <c r="Q50" s="5"/>
      <c r="S50">
        <f>Данные!$B40+(COUNTIFS(Данные!$B$2:$B40,Данные!$B40,Данные!C$2:C40,Данные!C40)-(COUNTIFS(Данные!$B$2:$B$75,Данные!$B40,Данные!C$2:C$75,Данные!C40)+1)/2)*$S$10</f>
        <v>3</v>
      </c>
    </row>
    <row r="51" spans="1:19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>
        <f>_xlfn.RANK.AVG(Данные!B41,Данные!$B$2:$B$75,1)</f>
        <v>56.5</v>
      </c>
      <c r="L51" s="5">
        <f>_xlfn.RANK.AVG(Данные!C41,Данные!$C$2:$C$75,1)</f>
        <v>17.5</v>
      </c>
      <c r="M51" s="5"/>
      <c r="N51" s="5"/>
      <c r="O51" s="5">
        <f>Данные!B41+(-0.105)</f>
        <v>3.895</v>
      </c>
      <c r="P51" s="5">
        <f>Данные!C41</f>
        <v>11</v>
      </c>
      <c r="Q51" s="5"/>
      <c r="S51">
        <f>Данные!$B41+(COUNTIFS(Данные!$B$2:$B41,Данные!$B41,Данные!C$2:C41,Данные!C41)-(COUNTIFS(Данные!$B$2:$B$75,Данные!$B41,Данные!C$2:C$75,Данные!C41)+1)/2)*$S$10</f>
        <v>4</v>
      </c>
    </row>
    <row r="52" spans="1:19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>
        <f>_xlfn.RANK.AVG(Данные!B42,Данные!$B$2:$B$75,1)</f>
        <v>32</v>
      </c>
      <c r="L52" s="5">
        <f>_xlfn.RANK.AVG(Данные!C42,Данные!$C$2:$C$75,1)</f>
        <v>50</v>
      </c>
      <c r="M52" s="5"/>
      <c r="N52" s="5"/>
      <c r="O52" s="5">
        <f>Данные!B42+(-0.035)</f>
        <v>2.9649999999999999</v>
      </c>
      <c r="P52" s="5">
        <f>Данные!C42</f>
        <v>16</v>
      </c>
      <c r="Q52" s="5"/>
      <c r="S52">
        <f>Данные!$B42+(COUNTIFS(Данные!$B$2:$B42,Данные!$B42,Данные!C$2:C42,Данные!C42)-(COUNTIFS(Данные!$B$2:$B$75,Данные!$B42,Данные!C$2:C$75,Данные!C42)+1)/2)*$S$10</f>
        <v>3.08</v>
      </c>
    </row>
    <row r="53" spans="1:19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>
        <f>_xlfn.RANK.AVG(Данные!B43,Данные!$B$2:$B$75,1)</f>
        <v>56.5</v>
      </c>
      <c r="L53" s="5">
        <f>_xlfn.RANK.AVG(Данные!C43,Данные!$C$2:$C$75,1)</f>
        <v>35</v>
      </c>
      <c r="M53" s="5"/>
      <c r="N53" s="5"/>
      <c r="O53" s="5">
        <f>Данные!B43+(-0.07)</f>
        <v>3.93</v>
      </c>
      <c r="P53" s="5">
        <f>Данные!C43</f>
        <v>14</v>
      </c>
      <c r="Q53" s="5"/>
      <c r="S53">
        <f>Данные!$B43+(COUNTIFS(Данные!$B$2:$B43,Данные!$B43,Данные!C$2:C43,Данные!C43)-(COUNTIFS(Данные!$B$2:$B$75,Данные!$B43,Данные!C$2:C$75,Данные!C43)+1)/2)*$S$10</f>
        <v>3.92</v>
      </c>
    </row>
    <row r="54" spans="1:19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>
        <f>_xlfn.RANK.AVG(Данные!B44,Данные!$B$2:$B$75,1)</f>
        <v>32</v>
      </c>
      <c r="L54" s="5">
        <f>_xlfn.RANK.AVG(Данные!C44,Данные!$C$2:$C$75,1)</f>
        <v>5.5</v>
      </c>
      <c r="M54" s="5"/>
      <c r="N54" s="5"/>
      <c r="O54" s="5">
        <f>Данные!B44+(-0.105)</f>
        <v>2.895</v>
      </c>
      <c r="P54" s="5">
        <f>Данные!C44</f>
        <v>7</v>
      </c>
      <c r="Q54" s="5"/>
      <c r="S54">
        <f>Данные!$B44+(COUNTIFS(Данные!$B$2:$B44,Данные!$B44,Данные!C$2:C44,Данные!C44)-(COUNTIFS(Данные!$B$2:$B$75,Данные!$B44,Данные!C$2:C$75,Данные!C44)+1)/2)*$S$10</f>
        <v>2.96</v>
      </c>
    </row>
    <row r="55" spans="1:19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>
        <f>_xlfn.RANK.AVG(Данные!B45,Данные!$B$2:$B$75,1)</f>
        <v>32</v>
      </c>
      <c r="L55" s="5">
        <f>_xlfn.RANK.AVG(Данные!C45,Данные!$C$2:$C$75,1)</f>
        <v>35</v>
      </c>
      <c r="M55" s="5"/>
      <c r="N55" s="5"/>
      <c r="O55" s="5">
        <f>Данные!B45+(0)</f>
        <v>3</v>
      </c>
      <c r="P55" s="5">
        <f>Данные!C45</f>
        <v>14</v>
      </c>
      <c r="Q55" s="5"/>
      <c r="S55">
        <f>Данные!$B45+(COUNTIFS(Данные!$B$2:$B45,Данные!$B45,Данные!C$2:C45,Данные!C45)-(COUNTIFS(Данные!$B$2:$B$75,Данные!$B45,Данные!C$2:C$75,Данные!C45)+1)/2)*$S$10</f>
        <v>3.04</v>
      </c>
    </row>
    <row r="56" spans="1:19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>
        <f>_xlfn.RANK.AVG(Данные!B46,Данные!$B$2:$B$75,1)</f>
        <v>56.5</v>
      </c>
      <c r="L56" s="5">
        <f>_xlfn.RANK.AVG(Данные!C46,Данные!$C$2:$C$75,1)</f>
        <v>44.5</v>
      </c>
      <c r="M56" s="5"/>
      <c r="N56" s="5"/>
      <c r="O56" s="5">
        <f>Данные!B46+(-0.07)</f>
        <v>3.93</v>
      </c>
      <c r="P56" s="5">
        <f>Данные!C46</f>
        <v>15</v>
      </c>
      <c r="Q56" s="5"/>
      <c r="S56">
        <f>Данные!$B46+(COUNTIFS(Данные!$B$2:$B46,Данные!$B46,Данные!C$2:C46,Данные!C46)-(COUNTIFS(Данные!$B$2:$B$75,Данные!$B46,Данные!C$2:C$75,Данные!C46)+1)/2)*$S$10</f>
        <v>3.92</v>
      </c>
    </row>
    <row r="57" spans="1:19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>
        <f>_xlfn.RANK.AVG(Данные!B47,Данные!$B$2:$B$75,1)</f>
        <v>32</v>
      </c>
      <c r="L57" s="5">
        <f>_xlfn.RANK.AVG(Данные!C47,Данные!$C$2:$C$75,1)</f>
        <v>35</v>
      </c>
      <c r="M57" s="5"/>
      <c r="N57" s="5"/>
      <c r="O57" s="5">
        <f>Данные!B47+(0.035)</f>
        <v>3.0350000000000001</v>
      </c>
      <c r="P57" s="5">
        <f>Данные!C47</f>
        <v>14</v>
      </c>
      <c r="Q57" s="5"/>
      <c r="S57">
        <f>Данные!$B47+(COUNTIFS(Данные!$B$2:$B47,Данные!$B47,Данные!C$2:C47,Данные!C47)-(COUNTIFS(Данные!$B$2:$B$75,Данные!$B47,Данные!C$2:C$75,Данные!C47)+1)/2)*$S$10</f>
        <v>3.12</v>
      </c>
    </row>
    <row r="58" spans="1:19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>
        <f>_xlfn.RANK.AVG(Данные!B48,Данные!$B$2:$B$75,1)</f>
        <v>56.5</v>
      </c>
      <c r="L58" s="5">
        <f>_xlfn.RANK.AVG(Данные!C48,Данные!$C$2:$C$75,1)</f>
        <v>35</v>
      </c>
      <c r="M58" s="5"/>
      <c r="N58" s="5"/>
      <c r="O58" s="5">
        <f>Данные!B48+(-0.035)</f>
        <v>3.9649999999999999</v>
      </c>
      <c r="P58" s="5">
        <f>Данные!C48</f>
        <v>14</v>
      </c>
      <c r="Q58" s="5"/>
      <c r="S58">
        <f>Данные!$B48+(COUNTIFS(Данные!$B$2:$B48,Данные!$B48,Данные!C$2:C48,Данные!C48)-(COUNTIFS(Данные!$B$2:$B$75,Данные!$B48,Данные!C$2:C$75,Данные!C48)+1)/2)*$S$10</f>
        <v>4</v>
      </c>
    </row>
    <row r="59" spans="1:19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>
        <f>_xlfn.RANK.AVG(Данные!B49,Данные!$B$2:$B$75,1)</f>
        <v>32</v>
      </c>
      <c r="L59" s="5">
        <f>_xlfn.RANK.AVG(Данные!C49,Данные!$C$2:$C$75,1)</f>
        <v>5.5</v>
      </c>
      <c r="M59" s="5"/>
      <c r="N59" s="5"/>
      <c r="O59" s="5">
        <f>Данные!B49+(-0.07)</f>
        <v>2.93</v>
      </c>
      <c r="P59" s="5">
        <f>Данные!C49</f>
        <v>7</v>
      </c>
      <c r="Q59" s="5"/>
      <c r="S59">
        <f>Данные!$B49+(COUNTIFS(Данные!$B$2:$B49,Данные!$B49,Данные!C$2:C49,Данные!C49)-(COUNTIFS(Данные!$B$2:$B$75,Данные!$B49,Данные!C$2:C$75,Данные!C49)+1)/2)*$S$10</f>
        <v>3.04</v>
      </c>
    </row>
    <row r="60" spans="1:19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>
        <f>_xlfn.RANK.AVG(Данные!B50,Данные!$B$2:$B$75,1)</f>
        <v>32</v>
      </c>
      <c r="L60" s="5">
        <f>_xlfn.RANK.AVG(Данные!C50,Данные!$C$2:$C$75,1)</f>
        <v>35</v>
      </c>
      <c r="M60" s="5"/>
      <c r="N60" s="5"/>
      <c r="O60" s="5">
        <f>Данные!B50+(0.07)</f>
        <v>3.07</v>
      </c>
      <c r="P60" s="5">
        <f>Данные!C50</f>
        <v>14</v>
      </c>
      <c r="Q60" s="5"/>
      <c r="S60">
        <f>Данные!$B50+(COUNTIFS(Данные!$B$2:$B50,Данные!$B50,Данные!C$2:C50,Данные!C50)-(COUNTIFS(Данные!$B$2:$B$75,Данные!$B50,Данные!C$2:C$75,Данные!C50)+1)/2)*$S$10</f>
        <v>3.2</v>
      </c>
    </row>
    <row r="61" spans="1:19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>
        <f>_xlfn.RANK.AVG(Данные!B51,Данные!$B$2:$B$75,1)</f>
        <v>32</v>
      </c>
      <c r="L61" s="5">
        <f>_xlfn.RANK.AVG(Данные!C51,Данные!$C$2:$C$75,1)</f>
        <v>14</v>
      </c>
      <c r="M61" s="5"/>
      <c r="N61" s="5"/>
      <c r="O61" s="5">
        <f>Данные!B51+(-0.105)</f>
        <v>2.895</v>
      </c>
      <c r="P61" s="5">
        <f>Данные!C51</f>
        <v>10</v>
      </c>
      <c r="Q61" s="5"/>
      <c r="S61">
        <f>Данные!$B51+(COUNTIFS(Данные!$B$2:$B51,Данные!$B51,Данные!C$2:C51,Данные!C51)-(COUNTIFS(Данные!$B$2:$B$75,Данные!$B51,Данные!C$2:C$75,Данные!C51)+1)/2)*$S$10</f>
        <v>3</v>
      </c>
    </row>
    <row r="62" spans="1:19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>
        <f>_xlfn.RANK.AVG(Данные!B52,Данные!$B$2:$B$75,1)</f>
        <v>32</v>
      </c>
      <c r="L62" s="5">
        <f>_xlfn.RANK.AVG(Данные!C52,Данные!$C$2:$C$75,1)</f>
        <v>25.5</v>
      </c>
      <c r="M62" s="5"/>
      <c r="N62" s="5"/>
      <c r="O62" s="5">
        <f>Данные!B52+(-0.07)</f>
        <v>2.93</v>
      </c>
      <c r="P62" s="5">
        <f>Данные!C52</f>
        <v>13</v>
      </c>
      <c r="Q62" s="5"/>
      <c r="S62">
        <f>Данные!$B52+(COUNTIFS(Данные!$B$2:$B52,Данные!$B52,Данные!C$2:C52,Данные!C52)-(COUNTIFS(Данные!$B$2:$B$75,Данные!$B52,Данные!C$2:C$75,Данные!C52)+1)/2)*$S$10</f>
        <v>3.04</v>
      </c>
    </row>
    <row r="63" spans="1:19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>
        <f>_xlfn.RANK.AVG(Данные!B53,Данные!$B$2:$B$75,1)</f>
        <v>56.5</v>
      </c>
      <c r="L63" s="5">
        <f>_xlfn.RANK.AVG(Данные!C53,Данные!$C$2:$C$75,1)</f>
        <v>67.5</v>
      </c>
      <c r="M63" s="5"/>
      <c r="N63" s="5"/>
      <c r="O63" s="5">
        <f>Данные!B53+(-0.105)</f>
        <v>3.895</v>
      </c>
      <c r="P63" s="5">
        <f>Данные!C53</f>
        <v>21</v>
      </c>
      <c r="Q63" s="5"/>
      <c r="S63">
        <f>Данные!$B53+(COUNTIFS(Данные!$B$2:$B53,Данные!$B53,Данные!C$2:C53,Данные!C53)-(COUNTIFS(Данные!$B$2:$B$75,Данные!$B53,Данные!C$2:C$75,Данные!C53)+1)/2)*$S$10</f>
        <v>4</v>
      </c>
    </row>
    <row r="64" spans="1:19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>
        <f>_xlfn.RANK.AVG(Данные!B54,Данные!$B$2:$B$75,1)</f>
        <v>32</v>
      </c>
      <c r="L64" s="5">
        <f>_xlfn.RANK.AVG(Данные!C54,Данные!$C$2:$C$75,1)</f>
        <v>57</v>
      </c>
      <c r="M64" s="5"/>
      <c r="N64" s="5"/>
      <c r="O64" s="5">
        <f>Данные!B54+(-0.07)</f>
        <v>2.93</v>
      </c>
      <c r="P64" s="5">
        <f>Данные!C54</f>
        <v>18</v>
      </c>
      <c r="Q64" s="5"/>
      <c r="S64">
        <f>Данные!$B54+(COUNTIFS(Данные!$B$2:$B54,Данные!$B54,Данные!C$2:C54,Данные!C54)-(COUNTIFS(Данные!$B$2:$B$75,Данные!$B54,Данные!C$2:C$75,Данные!C54)+1)/2)*$S$10</f>
        <v>3.04</v>
      </c>
    </row>
    <row r="65" spans="1:19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>
        <f>_xlfn.RANK.AVG(Данные!B55,Данные!$B$2:$B$75,1)</f>
        <v>56.5</v>
      </c>
      <c r="L65" s="5">
        <f>_xlfn.RANK.AVG(Данные!C55,Данные!$C$2:$C$75,1)</f>
        <v>61.5</v>
      </c>
      <c r="M65" s="5"/>
      <c r="N65" s="5"/>
      <c r="O65" s="5">
        <f>Данные!B55+(-0.07)</f>
        <v>3.93</v>
      </c>
      <c r="P65" s="5">
        <f>Данные!C55</f>
        <v>19</v>
      </c>
      <c r="Q65" s="5"/>
      <c r="S65">
        <f>Данные!$B55+(COUNTIFS(Данные!$B$2:$B55,Данные!$B55,Данные!C$2:C55,Данные!C55)-(COUNTIFS(Данные!$B$2:$B$75,Данные!$B55,Данные!C$2:C$75,Данные!C55)+1)/2)*$S$10</f>
        <v>4.04</v>
      </c>
    </row>
    <row r="66" spans="1:19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>
        <f>_xlfn.RANK.AVG(Данные!B56,Данные!$B$2:$B$75,1)</f>
        <v>56.5</v>
      </c>
      <c r="L66" s="5">
        <f>_xlfn.RANK.AVG(Данные!C56,Данные!$C$2:$C$75,1)</f>
        <v>65</v>
      </c>
      <c r="M66" s="5"/>
      <c r="N66" s="5"/>
      <c r="O66" s="5">
        <f>Данные!B56+(-0.105)</f>
        <v>3.895</v>
      </c>
      <c r="P66" s="5">
        <f>Данные!C56</f>
        <v>20</v>
      </c>
      <c r="Q66" s="5"/>
      <c r="S66">
        <f>Данные!$B56+(COUNTIFS(Данные!$B$2:$B56,Данные!$B56,Данные!C$2:C56,Данные!C56)-(COUNTIFS(Данные!$B$2:$B$75,Данные!$B56,Данные!C$2:C$75,Данные!C56)+1)/2)*$S$10</f>
        <v>4</v>
      </c>
    </row>
    <row r="67" spans="1:19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>
        <f>_xlfn.RANK.AVG(Данные!B57,Данные!$B$2:$B$75,1)</f>
        <v>56.5</v>
      </c>
      <c r="L67" s="5">
        <f>_xlfn.RANK.AVG(Данные!C57,Данные!$C$2:$C$75,1)</f>
        <v>5.5</v>
      </c>
      <c r="M67" s="5"/>
      <c r="N67" s="5"/>
      <c r="O67" s="5">
        <f>Данные!B57+(-0.105)</f>
        <v>3.895</v>
      </c>
      <c r="P67" s="5">
        <f>Данные!C57</f>
        <v>7</v>
      </c>
      <c r="Q67" s="5"/>
      <c r="S67">
        <f>Данные!$B57+(COUNTIFS(Данные!$B$2:$B57,Данные!$B57,Данные!C$2:C57,Данные!C57)-(COUNTIFS(Данные!$B$2:$B$75,Данные!$B57,Данные!C$2:C$75,Данные!C57)+1)/2)*$S$10</f>
        <v>4</v>
      </c>
    </row>
    <row r="68" spans="1:19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>
        <f>_xlfn.RANK.AVG(Данные!B58,Данные!$B$2:$B$75,1)</f>
        <v>56.5</v>
      </c>
      <c r="L68" s="5">
        <f>_xlfn.RANK.AVG(Данные!C58,Данные!$C$2:$C$75,1)</f>
        <v>44.5</v>
      </c>
      <c r="M68" s="5"/>
      <c r="N68" s="5"/>
      <c r="O68" s="5">
        <f>Данные!B58+(-0.035)</f>
        <v>3.9649999999999999</v>
      </c>
      <c r="P68" s="5">
        <f>Данные!C58</f>
        <v>15</v>
      </c>
      <c r="Q68" s="5"/>
      <c r="S68">
        <f>Данные!$B58+(COUNTIFS(Данные!$B$2:$B58,Данные!$B58,Данные!C$2:C58,Данные!C58)-(COUNTIFS(Данные!$B$2:$B$75,Данные!$B58,Данные!C$2:C$75,Данные!C58)+1)/2)*$S$10</f>
        <v>4</v>
      </c>
    </row>
    <row r="69" spans="1:19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>
        <f>_xlfn.RANK.AVG(Данные!B59,Данные!$B$2:$B$75,1)</f>
        <v>56.5</v>
      </c>
      <c r="L69" s="5">
        <f>_xlfn.RANK.AVG(Данные!C59,Данные!$C$2:$C$75,1)</f>
        <v>35</v>
      </c>
      <c r="M69" s="5"/>
      <c r="N69" s="5"/>
      <c r="O69" s="5">
        <f>Данные!B59+(0)</f>
        <v>4</v>
      </c>
      <c r="P69" s="5">
        <f>Данные!C59</f>
        <v>14</v>
      </c>
      <c r="Q69" s="5"/>
      <c r="S69">
        <f>Данные!$B59+(COUNTIFS(Данные!$B$2:$B59,Данные!$B59,Данные!C$2:C59,Данные!C59)-(COUNTIFS(Данные!$B$2:$B$75,Данные!$B59,Данные!C$2:C$75,Данные!C59)+1)/2)*$S$10</f>
        <v>4.08</v>
      </c>
    </row>
    <row r="70" spans="1:19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>
        <f>_xlfn.RANK.AVG(Данные!B60,Данные!$B$2:$B$75,1)</f>
        <v>56.5</v>
      </c>
      <c r="L70" s="5">
        <f>_xlfn.RANK.AVG(Данные!C60,Данные!$C$2:$C$75,1)</f>
        <v>44.5</v>
      </c>
      <c r="M70" s="5"/>
      <c r="N70" s="5"/>
      <c r="O70" s="5">
        <f>Данные!B60+(0)</f>
        <v>4</v>
      </c>
      <c r="P70" s="5">
        <f>Данные!C60</f>
        <v>15</v>
      </c>
      <c r="Q70" s="5"/>
      <c r="S70">
        <f>Данные!$B60+(COUNTIFS(Данные!$B$2:$B60,Данные!$B60,Данные!C$2:C60,Данные!C60)-(COUNTIFS(Данные!$B$2:$B$75,Данные!$B60,Данные!C$2:C$75,Данные!C60)+1)/2)*$S$10</f>
        <v>4.08</v>
      </c>
    </row>
    <row r="71" spans="1:19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>
        <f>_xlfn.RANK.AVG(Данные!B61,Данные!$B$2:$B$75,1)</f>
        <v>71.5</v>
      </c>
      <c r="L71" s="5">
        <f>_xlfn.RANK.AVG(Данные!C61,Данные!$C$2:$C$75,1)</f>
        <v>73</v>
      </c>
      <c r="M71" s="5"/>
      <c r="N71" s="5"/>
      <c r="O71" s="5">
        <f>Данные!B61+(-0.105)</f>
        <v>4.8949999999999996</v>
      </c>
      <c r="P71" s="5">
        <f>Данные!C61</f>
        <v>28</v>
      </c>
      <c r="Q71" s="5"/>
      <c r="S71">
        <f>Данные!$B61+(COUNTIFS(Данные!$B$2:$B61,Данные!$B61,Данные!C$2:C61,Данные!C61)-(COUNTIFS(Данные!$B$2:$B$75,Данные!$B61,Данные!C$2:C$75,Данные!C61)+1)/2)*$S$10</f>
        <v>5</v>
      </c>
    </row>
    <row r="72" spans="1:19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>
        <f>_xlfn.RANK.AVG(Данные!B62,Данные!$B$2:$B$75,1)</f>
        <v>56.5</v>
      </c>
      <c r="L72" s="5">
        <f>_xlfn.RANK.AVG(Данные!C62,Данные!$C$2:$C$75,1)</f>
        <v>14</v>
      </c>
      <c r="M72" s="5"/>
      <c r="N72" s="5"/>
      <c r="O72" s="5">
        <f>Данные!B62+(-0.105)</f>
        <v>3.895</v>
      </c>
      <c r="P72" s="5">
        <f>Данные!C62</f>
        <v>10</v>
      </c>
      <c r="Q72" s="5"/>
      <c r="S72">
        <f>Данные!$B62+(COUNTIFS(Данные!$B$2:$B62,Данные!$B62,Данные!C$2:C62,Данные!C62)-(COUNTIFS(Данные!$B$2:$B$75,Данные!$B62,Данные!C$2:C$75,Данные!C62)+1)/2)*$S$10</f>
        <v>3.96</v>
      </c>
    </row>
    <row r="73" spans="1:19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>
        <f>_xlfn.RANK.AVG(Данные!B63,Данные!$B$2:$B$75,1)</f>
        <v>56.5</v>
      </c>
      <c r="L73" s="5">
        <f>_xlfn.RANK.AVG(Данные!C63,Данные!$C$2:$C$75,1)</f>
        <v>25.5</v>
      </c>
      <c r="M73" s="5"/>
      <c r="N73" s="5"/>
      <c r="O73" s="5">
        <f>Данные!B63+(-0.105)</f>
        <v>3.895</v>
      </c>
      <c r="P73" s="5">
        <f>Данные!C63</f>
        <v>13</v>
      </c>
      <c r="Q73" s="5"/>
      <c r="S73">
        <f>Данные!$B63+(COUNTIFS(Данные!$B$2:$B63,Данные!$B63,Данные!C$2:C63,Данные!C63)-(COUNTIFS(Данные!$B$2:$B$75,Данные!$B63,Данные!C$2:C$75,Данные!C63)+1)/2)*$S$10</f>
        <v>4</v>
      </c>
    </row>
    <row r="74" spans="1:19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>
        <f>_xlfn.RANK.AVG(Данные!B64,Данные!$B$2:$B$75,1)</f>
        <v>56.5</v>
      </c>
      <c r="L74" s="5">
        <f>_xlfn.RANK.AVG(Данные!C64,Данные!$C$2:$C$75,1)</f>
        <v>1.5</v>
      </c>
      <c r="M74" s="5"/>
      <c r="N74" s="5"/>
      <c r="O74" s="5">
        <f>Данные!B64+(-0.105)</f>
        <v>3.895</v>
      </c>
      <c r="P74" s="5">
        <f>Данные!C64</f>
        <v>4</v>
      </c>
      <c r="Q74" s="5"/>
      <c r="S74">
        <f>Данные!$B64+(COUNTIFS(Данные!$B$2:$B64,Данные!$B64,Данные!C$2:C64,Данные!C64)-(COUNTIFS(Данные!$B$2:$B$75,Данные!$B64,Данные!C$2:C$75,Данные!C64)+1)/2)*$S$10</f>
        <v>3.96</v>
      </c>
    </row>
    <row r="75" spans="1:19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>
        <f>_xlfn.RANK.AVG(Данные!B65,Данные!$B$2:$B$75,1)</f>
        <v>56.5</v>
      </c>
      <c r="L75" s="5">
        <f>_xlfn.RANK.AVG(Данные!C65,Данные!$C$2:$C$75,1)</f>
        <v>44.5</v>
      </c>
      <c r="M75" s="5"/>
      <c r="N75" s="5"/>
      <c r="O75" s="5">
        <f>Данные!B65+(0.035)</f>
        <v>4.0350000000000001</v>
      </c>
      <c r="P75" s="5">
        <f>Данные!C65</f>
        <v>15</v>
      </c>
      <c r="Q75" s="5"/>
      <c r="S75">
        <f>Данные!$B65+(COUNTIFS(Данные!$B$2:$B65,Данные!$B65,Данные!C$2:C65,Данные!C65)-(COUNTIFS(Данные!$B$2:$B$75,Данные!$B65,Данные!C$2:C$75,Данные!C65)+1)/2)*$S$10</f>
        <v>4.16</v>
      </c>
    </row>
    <row r="76" spans="1:19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>
        <f>_xlfn.RANK.AVG(Данные!B66,Данные!$B$2:$B$75,1)</f>
        <v>56.5</v>
      </c>
      <c r="L76" s="5">
        <f>_xlfn.RANK.AVG(Данные!C66,Данные!$C$2:$C$75,1)</f>
        <v>1.5</v>
      </c>
      <c r="M76" s="5"/>
      <c r="N76" s="5"/>
      <c r="O76" s="5">
        <f>Данные!B66+(-0.07)</f>
        <v>3.93</v>
      </c>
      <c r="P76" s="5">
        <f>Данные!C66</f>
        <v>4</v>
      </c>
      <c r="Q76" s="5"/>
      <c r="S76">
        <f>Данные!$B66+(COUNTIFS(Данные!$B$2:$B66,Данные!$B66,Данные!C$2:C66,Данные!C66)-(COUNTIFS(Данные!$B$2:$B$75,Данные!$B66,Данные!C$2:C$75,Данные!C66)+1)/2)*$S$10</f>
        <v>4.04</v>
      </c>
    </row>
    <row r="77" spans="1:19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>
        <f>_xlfn.RANK.AVG(Данные!B67,Данные!$B$2:$B$75,1)</f>
        <v>71.5</v>
      </c>
      <c r="L77" s="5">
        <f>_xlfn.RANK.AVG(Данные!C67,Данные!$C$2:$C$75,1)</f>
        <v>5.5</v>
      </c>
      <c r="M77" s="5"/>
      <c r="N77" s="5"/>
      <c r="O77" s="5">
        <f>Данные!B67+(-0.105)</f>
        <v>4.8949999999999996</v>
      </c>
      <c r="P77" s="5">
        <f>Данные!C67</f>
        <v>7</v>
      </c>
      <c r="Q77" s="5"/>
      <c r="S77">
        <f>Данные!$B67+(COUNTIFS(Данные!$B$2:$B67,Данные!$B67,Данные!C$2:C67,Данные!C67)-(COUNTIFS(Данные!$B$2:$B$75,Данные!$B67,Данные!C$2:C$75,Данные!C67)+1)/2)*$S$10</f>
        <v>5</v>
      </c>
    </row>
    <row r="78" spans="1:19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>
        <f>_xlfn.RANK.AVG(Данные!B68,Данные!$B$2:$B$75,1)</f>
        <v>71.5</v>
      </c>
      <c r="L78" s="5">
        <f>_xlfn.RANK.AVG(Данные!C68,Данные!$C$2:$C$75,1)</f>
        <v>17.5</v>
      </c>
      <c r="M78" s="5"/>
      <c r="N78" s="5"/>
      <c r="O78" s="5">
        <f>Данные!B68+(-0.105)</f>
        <v>4.8949999999999996</v>
      </c>
      <c r="P78" s="5">
        <f>Данные!C68</f>
        <v>11</v>
      </c>
      <c r="Q78" s="5"/>
      <c r="S78">
        <f>Данные!$B68+(COUNTIFS(Данные!$B$2:$B68,Данные!$B68,Данные!C$2:C68,Данные!C68)-(COUNTIFS(Данные!$B$2:$B$75,Данные!$B68,Данные!C$2:C$75,Данные!C68)+1)/2)*$S$10</f>
        <v>4.96</v>
      </c>
    </row>
    <row r="79" spans="1:19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>
        <f>_xlfn.RANK.AVG(Данные!B69,Данные!$B$2:$B$75,1)</f>
        <v>56.5</v>
      </c>
      <c r="L79" s="5">
        <f>_xlfn.RANK.AVG(Данные!C69,Данные!$C$2:$C$75,1)</f>
        <v>35</v>
      </c>
      <c r="M79" s="5"/>
      <c r="N79" s="5"/>
      <c r="O79" s="5">
        <f>Данные!B69+(0.035)</f>
        <v>4.0350000000000001</v>
      </c>
      <c r="P79" s="5">
        <f>Данные!C69</f>
        <v>14</v>
      </c>
      <c r="Q79" s="5"/>
      <c r="S79">
        <f>Данные!$B69+(COUNTIFS(Данные!$B$2:$B69,Данные!$B69,Данные!C$2:C69,Данные!C69)-(COUNTIFS(Данные!$B$2:$B$75,Данные!$B69,Данные!C$2:C$75,Данные!C69)+1)/2)*$S$10</f>
        <v>4.16</v>
      </c>
    </row>
    <row r="80" spans="1:19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>
        <f>_xlfn.RANK.AVG(Данные!B70,Данные!$B$2:$B$75,1)</f>
        <v>56.5</v>
      </c>
      <c r="L80" s="5">
        <f>_xlfn.RANK.AVG(Данные!C70,Данные!$C$2:$C$75,1)</f>
        <v>9.5</v>
      </c>
      <c r="M80" s="5"/>
      <c r="N80" s="5"/>
      <c r="O80" s="5">
        <f>Данные!B70+(-0.105)</f>
        <v>3.895</v>
      </c>
      <c r="P80" s="5">
        <f>Данные!C70</f>
        <v>8</v>
      </c>
      <c r="Q80" s="5"/>
      <c r="S80">
        <f>Данные!$B70+(COUNTIFS(Данные!$B$2:$B70,Данные!$B70,Данные!C$2:C70,Данные!C70)-(COUNTIFS(Данные!$B$2:$B$75,Данные!$B70,Данные!C$2:C$75,Данные!C70)+1)/2)*$S$10</f>
        <v>4</v>
      </c>
    </row>
    <row r="81" spans="1:20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>
        <f>_xlfn.RANK.AVG(Данные!B71,Данные!$B$2:$B$75,1)</f>
        <v>71.5</v>
      </c>
      <c r="L81" s="5">
        <f>_xlfn.RANK.AVG(Данные!C71,Данные!$C$2:$C$75,1)</f>
        <v>25.5</v>
      </c>
      <c r="M81" s="5"/>
      <c r="N81" s="5"/>
      <c r="O81" s="5">
        <f>Данные!B71+(-0.105)</f>
        <v>4.8949999999999996</v>
      </c>
      <c r="P81" s="5">
        <f>Данные!C71</f>
        <v>13</v>
      </c>
      <c r="Q81" s="5"/>
      <c r="S81">
        <f>Данные!$B71+(COUNTIFS(Данные!$B$2:$B71,Данные!$B71,Данные!C$2:C71,Данные!C71)-(COUNTIFS(Данные!$B$2:$B$75,Данные!$B71,Данные!C$2:C$75,Данные!C71)+1)/2)*$S$10</f>
        <v>5</v>
      </c>
    </row>
    <row r="82" spans="1:20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>
        <f>_xlfn.RANK.AVG(Данные!B72,Данные!$B$2:$B$75,1)</f>
        <v>71.5</v>
      </c>
      <c r="L82" s="5">
        <f>_xlfn.RANK.AVG(Данные!C72,Данные!$C$2:$C$75,1)</f>
        <v>35</v>
      </c>
      <c r="M82" s="5"/>
      <c r="N82" s="5"/>
      <c r="O82" s="5">
        <f>Данные!B72+(-0.105)</f>
        <v>4.8949999999999996</v>
      </c>
      <c r="P82" s="5">
        <f>Данные!C72</f>
        <v>14</v>
      </c>
      <c r="Q82" s="5"/>
      <c r="S82">
        <f>Данные!$B72+(COUNTIFS(Данные!$B$2:$B72,Данные!$B72,Данные!C$2:C72,Данные!C72)-(COUNTIFS(Данные!$B$2:$B$75,Данные!$B72,Данные!C$2:C$75,Данные!C72)+1)/2)*$S$10</f>
        <v>5</v>
      </c>
    </row>
    <row r="83" spans="1:20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>
        <f>_xlfn.RANK.AVG(Данные!B73,Данные!$B$2:$B$75,1)</f>
        <v>71.5</v>
      </c>
      <c r="L83" s="5">
        <f>_xlfn.RANK.AVG(Данные!C73,Данные!$C$2:$C$75,1)</f>
        <v>17.5</v>
      </c>
      <c r="M83" s="5"/>
      <c r="N83" s="5"/>
      <c r="O83" s="5">
        <f>Данные!B73+(-0.07)</f>
        <v>4.93</v>
      </c>
      <c r="P83" s="5">
        <f>Данные!C73</f>
        <v>11</v>
      </c>
      <c r="Q83" s="5"/>
      <c r="S83">
        <f>Данные!$B73+(COUNTIFS(Данные!$B$2:$B73,Данные!$B73,Данные!C$2:C73,Данные!C73)-(COUNTIFS(Данные!$B$2:$B$75,Данные!$B73,Данные!C$2:C$75,Данные!C73)+1)/2)*$S$10</f>
        <v>5.04</v>
      </c>
    </row>
    <row r="84" spans="1:20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>
        <f>_xlfn.RANK.AVG(Данные!B74,Данные!$B$2:$B$75,1)</f>
        <v>56.5</v>
      </c>
      <c r="L84" s="5">
        <f>_xlfn.RANK.AVG(Данные!C74,Данные!$C$2:$C$75,1)</f>
        <v>21</v>
      </c>
      <c r="M84" s="5"/>
      <c r="N84" s="5"/>
      <c r="O84" s="5">
        <f>Данные!B74+(-0.105)</f>
        <v>3.895</v>
      </c>
      <c r="P84" s="5">
        <f>Данные!C74</f>
        <v>12</v>
      </c>
      <c r="Q84" s="5"/>
      <c r="S84">
        <f>Данные!$B74+(COUNTIFS(Данные!$B$2:$B74,Данные!$B74,Данные!C$2:C74,Данные!C74)-(COUNTIFS(Данные!$B$2:$B$75,Данные!$B74,Данные!C$2:C$75,Данные!C74)+1)/2)*$S$10</f>
        <v>4</v>
      </c>
    </row>
    <row r="85" spans="1:20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>
        <f>_xlfn.RANK.AVG(Данные!B75,Данные!$B$2:$B$75,1)</f>
        <v>56.5</v>
      </c>
      <c r="L85" s="5">
        <f>_xlfn.RANK.AVG(Данные!C75,Данные!$C$2:$C$75,1)</f>
        <v>14</v>
      </c>
      <c r="M85" s="5"/>
      <c r="N85" s="5"/>
      <c r="O85" s="5">
        <f>Данные!B75+(-0.07)</f>
        <v>3.93</v>
      </c>
      <c r="P85" s="5">
        <f>Данные!C75</f>
        <v>10</v>
      </c>
      <c r="Q85" s="5"/>
      <c r="S85">
        <f>Данные!$B75+(COUNTIFS(Данные!$B$2:$B75,Данные!$B75,Данные!C$2:C75,Данные!C75)-(COUNTIFS(Данные!$B$2:$B$75,Данные!$B75,Данные!C$2:C$75,Данные!C75)+1)/2)*$S$10</f>
        <v>4.04</v>
      </c>
    </row>
    <row r="86" spans="1:20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20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20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20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20" x14ac:dyDescent="0.25">
      <c r="A90" s="5"/>
      <c r="B90" s="5"/>
      <c r="C90" s="5"/>
      <c r="D90" s="5" t="s">
        <v>51</v>
      </c>
      <c r="E90" s="5">
        <v>1</v>
      </c>
      <c r="F90" s="5">
        <v>2</v>
      </c>
      <c r="G90" s="5">
        <v>3</v>
      </c>
      <c r="H90" s="5">
        <v>4</v>
      </c>
      <c r="I90" s="5">
        <v>5</v>
      </c>
      <c r="J90" s="5"/>
      <c r="K90" s="5" t="s">
        <v>52</v>
      </c>
      <c r="L90" s="5" t="s">
        <v>53</v>
      </c>
      <c r="M90" s="5" t="s">
        <v>54</v>
      </c>
      <c r="N90" s="5" t="s">
        <v>55</v>
      </c>
      <c r="O90" s="5"/>
      <c r="P90" s="5"/>
      <c r="Q90" s="5"/>
      <c r="S90" t="s">
        <v>56</v>
      </c>
      <c r="T90" t="s">
        <v>57</v>
      </c>
    </row>
    <row r="91" spans="1:20" x14ac:dyDescent="0.25">
      <c r="A91" s="5"/>
      <c r="B91" s="5"/>
      <c r="C91" s="5"/>
      <c r="D91" s="5" t="s">
        <v>58</v>
      </c>
      <c r="E91" s="5">
        <f>COUNT(E12:E18)</f>
        <v>7</v>
      </c>
      <c r="F91" s="5">
        <f>COUNT(F12:F23)</f>
        <v>12</v>
      </c>
      <c r="G91" s="5">
        <f>COUNT(G12:G36)</f>
        <v>25</v>
      </c>
      <c r="H91" s="5">
        <f>COUNT(H12:H35)</f>
        <v>24</v>
      </c>
      <c r="I91" s="5">
        <f>COUNT(I12:I17)</f>
        <v>6</v>
      </c>
      <c r="J91" s="5"/>
      <c r="K91" s="5">
        <f>1+0*4/59</f>
        <v>1</v>
      </c>
      <c r="L91" s="5">
        <f t="shared" ref="L91:L122" si="0">$B$15+$B$16*K91</f>
        <v>17.354335620711169</v>
      </c>
      <c r="M91" s="5">
        <f>L91-$B$23*$B$18*SQRT(1/$B$12+(K91-AVERAGE(Данные!$B$2:$B$75))^2/DEVSQ(Данные!$B$2:$B$75))</f>
        <v>14.675244850946276</v>
      </c>
      <c r="N91" s="5">
        <f>L91+$B$23*$B$18*SQRT(1/$B$12+(K91-AVERAGE(Данные!$B$2:$B$75))^2/DEVSQ(Данные!$B$2:$B$75))</f>
        <v>20.033426390476059</v>
      </c>
      <c r="O91" s="5"/>
      <c r="P91" s="5"/>
      <c r="Q91" s="5"/>
      <c r="S91">
        <f t="shared" ref="S91:S122" si="1">K91</f>
        <v>1</v>
      </c>
      <c r="T91">
        <f t="shared" ref="T91:T122" si="2">M91</f>
        <v>14.675244850946276</v>
      </c>
    </row>
    <row r="92" spans="1:20" x14ac:dyDescent="0.25">
      <c r="A92" s="5"/>
      <c r="B92" s="5"/>
      <c r="C92" s="5"/>
      <c r="D92" s="5" t="s">
        <v>59</v>
      </c>
      <c r="E92" s="9">
        <f>AVERAGE(E12:E18)</f>
        <v>16.428571428571427</v>
      </c>
      <c r="F92" s="9">
        <f>AVERAGE(F12:F23)</f>
        <v>18.583333333333332</v>
      </c>
      <c r="G92" s="9">
        <f>AVERAGE(G12:G36)</f>
        <v>13.6</v>
      </c>
      <c r="H92" s="9">
        <f>AVERAGE(H12:H35)</f>
        <v>13.375</v>
      </c>
      <c r="I92" s="9">
        <f>AVERAGE(I12:I17)</f>
        <v>14</v>
      </c>
      <c r="J92" s="5"/>
      <c r="K92" s="5">
        <f>1+1*4/59</f>
        <v>1.0677966101694916</v>
      </c>
      <c r="L92" s="5">
        <f t="shared" si="0"/>
        <v>17.267993275320642</v>
      </c>
      <c r="M92" s="5">
        <f>L92-$B$23*$B$18*SQRT(1/$B$12+(K92-AVERAGE(Данные!$B$2:$B$75))^2/DEVSQ(Данные!$B$2:$B$75))</f>
        <v>14.656361318896799</v>
      </c>
      <c r="N92" s="5">
        <f>L92+$B$23*$B$18*SQRT(1/$B$12+(K92-AVERAGE(Данные!$B$2:$B$75))^2/DEVSQ(Данные!$B$2:$B$75))</f>
        <v>19.879625231744484</v>
      </c>
      <c r="O92" s="5"/>
      <c r="P92" s="5"/>
      <c r="Q92" s="5"/>
      <c r="S92">
        <f t="shared" si="1"/>
        <v>1.0677966101694916</v>
      </c>
      <c r="T92">
        <f t="shared" si="2"/>
        <v>14.656361318896799</v>
      </c>
    </row>
    <row r="93" spans="1:20" x14ac:dyDescent="0.25">
      <c r="A93" s="5"/>
      <c r="B93" s="5"/>
      <c r="C93" s="5"/>
      <c r="D93" s="5" t="s">
        <v>60</v>
      </c>
      <c r="E93" s="9">
        <f>_xlfn.QUARTILE.INC(E12:E18,1)</f>
        <v>13</v>
      </c>
      <c r="F93" s="9">
        <f>_xlfn.QUARTILE.INC(F12:F23,1)</f>
        <v>16.75</v>
      </c>
      <c r="G93" s="9">
        <f>_xlfn.QUARTILE.INC(G12:G36,1)</f>
        <v>10</v>
      </c>
      <c r="H93" s="9">
        <f>_xlfn.QUARTILE.INC(H12:H35,1)</f>
        <v>10.75</v>
      </c>
      <c r="I93" s="9">
        <f>_xlfn.QUARTILE.INC(I12:I17,1)</f>
        <v>11</v>
      </c>
      <c r="J93" s="5"/>
      <c r="K93" s="5">
        <f>1+2*4/59</f>
        <v>1.1355932203389831</v>
      </c>
      <c r="L93" s="5">
        <f t="shared" si="0"/>
        <v>17.181650929930111</v>
      </c>
      <c r="M93" s="5">
        <f>L93-$B$23*$B$18*SQRT(1/$B$12+(K93-AVERAGE(Данные!$B$2:$B$75))^2/DEVSQ(Данные!$B$2:$B$75))</f>
        <v>14.637003370496901</v>
      </c>
      <c r="N93" s="5">
        <f>L93+$B$23*$B$18*SQRT(1/$B$12+(K93-AVERAGE(Данные!$B$2:$B$75))^2/DEVSQ(Данные!$B$2:$B$75))</f>
        <v>19.72629848936332</v>
      </c>
      <c r="O93" s="5"/>
      <c r="P93" s="5"/>
      <c r="Q93" s="5"/>
      <c r="S93">
        <f t="shared" si="1"/>
        <v>1.1355932203389831</v>
      </c>
      <c r="T93">
        <f t="shared" si="2"/>
        <v>14.637003370496901</v>
      </c>
    </row>
    <row r="94" spans="1:20" x14ac:dyDescent="0.25">
      <c r="A94" s="5"/>
      <c r="B94" s="5"/>
      <c r="C94" s="5"/>
      <c r="D94" s="5" t="s">
        <v>61</v>
      </c>
      <c r="E94" s="9">
        <f>MEDIAN(E12:E18)</f>
        <v>14</v>
      </c>
      <c r="F94" s="9">
        <f>MEDIAN(F12:F23)</f>
        <v>18.5</v>
      </c>
      <c r="G94" s="9">
        <f>MEDIAN(G12:G36)</f>
        <v>14</v>
      </c>
      <c r="H94" s="9">
        <f>MEDIAN(H12:H35)</f>
        <v>14</v>
      </c>
      <c r="I94" s="9">
        <f>MEDIAN(I12:I17)</f>
        <v>12</v>
      </c>
      <c r="J94" s="5"/>
      <c r="K94" s="5">
        <f>1+3*4/59</f>
        <v>1.2033898305084745</v>
      </c>
      <c r="L94" s="5">
        <f t="shared" si="0"/>
        <v>17.095308584539584</v>
      </c>
      <c r="M94" s="5">
        <f>L94-$B$23*$B$18*SQRT(1/$B$12+(K94-AVERAGE(Данные!$B$2:$B$75))^2/DEVSQ(Данные!$B$2:$B$75))</f>
        <v>14.61713253542908</v>
      </c>
      <c r="N94" s="5">
        <f>L94+$B$23*$B$18*SQRT(1/$B$12+(K94-AVERAGE(Данные!$B$2:$B$75))^2/DEVSQ(Данные!$B$2:$B$75))</f>
        <v>19.573484633650086</v>
      </c>
      <c r="O94" s="5"/>
      <c r="P94" s="5"/>
      <c r="Q94" s="5"/>
      <c r="S94">
        <f t="shared" si="1"/>
        <v>1.2033898305084745</v>
      </c>
      <c r="T94">
        <f t="shared" si="2"/>
        <v>14.61713253542908</v>
      </c>
    </row>
    <row r="95" spans="1:20" x14ac:dyDescent="0.25">
      <c r="A95" s="5"/>
      <c r="B95" s="5"/>
      <c r="C95" s="5"/>
      <c r="D95" s="5" t="s">
        <v>62</v>
      </c>
      <c r="E95" s="9">
        <f>_xlfn.QUARTILE.INC(E12:E18,3)</f>
        <v>18</v>
      </c>
      <c r="F95" s="9">
        <f>_xlfn.QUARTILE.INC(F12:F23,3)</f>
        <v>21.5</v>
      </c>
      <c r="G95" s="9">
        <f>_xlfn.QUARTILE.INC(G12:G36,3)</f>
        <v>16</v>
      </c>
      <c r="H95" s="9">
        <f>_xlfn.QUARTILE.INC(H12:H35,3)</f>
        <v>15</v>
      </c>
      <c r="I95" s="9">
        <f>_xlfn.QUARTILE.INC(I12:I17,3)</f>
        <v>13.75</v>
      </c>
      <c r="J95" s="5"/>
      <c r="K95" s="5">
        <f>1+4*4/59</f>
        <v>1.271186440677966</v>
      </c>
      <c r="L95" s="5">
        <f t="shared" si="0"/>
        <v>17.008966239149053</v>
      </c>
      <c r="M95" s="5">
        <f>L95-$B$23*$B$18*SQRT(1/$B$12+(K95-AVERAGE(Данные!$B$2:$B$75))^2/DEVSQ(Данные!$B$2:$B$75))</f>
        <v>14.596706414465801</v>
      </c>
      <c r="N95" s="5">
        <f>L95+$B$23*$B$18*SQRT(1/$B$12+(K95-AVERAGE(Данные!$B$2:$B$75))^2/DEVSQ(Данные!$B$2:$B$75))</f>
        <v>19.421226063832307</v>
      </c>
      <c r="O95" s="5"/>
      <c r="P95" s="5"/>
      <c r="Q95" s="5"/>
      <c r="S95">
        <f t="shared" si="1"/>
        <v>1.271186440677966</v>
      </c>
      <c r="T95">
        <f t="shared" si="2"/>
        <v>14.596706414465801</v>
      </c>
    </row>
    <row r="96" spans="1:20" x14ac:dyDescent="0.25">
      <c r="A96" s="5"/>
      <c r="B96" s="5"/>
      <c r="C96" s="5"/>
      <c r="D96" s="5" t="s">
        <v>63</v>
      </c>
      <c r="E96" s="9">
        <f>E95-E93</f>
        <v>5</v>
      </c>
      <c r="F96" s="9">
        <f>F95-F93</f>
        <v>4.75</v>
      </c>
      <c r="G96" s="9">
        <f>G95-G93</f>
        <v>6</v>
      </c>
      <c r="H96" s="9">
        <f>H95-H93</f>
        <v>4.25</v>
      </c>
      <c r="I96" s="9">
        <f>I95-I93</f>
        <v>2.75</v>
      </c>
      <c r="J96" s="5"/>
      <c r="K96" s="5">
        <f>1+5*4/59</f>
        <v>1.3389830508474576</v>
      </c>
      <c r="L96" s="5">
        <f t="shared" si="0"/>
        <v>16.922623893758526</v>
      </c>
      <c r="M96" s="5">
        <f>L96-$B$23*$B$18*SQRT(1/$B$12+(K96-AVERAGE(Данные!$B$2:$B$75))^2/DEVSQ(Данные!$B$2:$B$75))</f>
        <v>14.575678219926857</v>
      </c>
      <c r="N96" s="5">
        <f>L96+$B$23*$B$18*SQRT(1/$B$12+(K96-AVERAGE(Данные!$B$2:$B$75))^2/DEVSQ(Данные!$B$2:$B$75))</f>
        <v>19.269569567590196</v>
      </c>
      <c r="O96" s="5"/>
      <c r="P96" s="5"/>
      <c r="Q96" s="5"/>
      <c r="S96">
        <f t="shared" si="1"/>
        <v>1.3389830508474576</v>
      </c>
      <c r="T96">
        <f t="shared" si="2"/>
        <v>14.575678219926857</v>
      </c>
    </row>
    <row r="97" spans="1:22" x14ac:dyDescent="0.25">
      <c r="A97" s="5"/>
      <c r="B97" s="5"/>
      <c r="C97" s="5"/>
      <c r="D97" s="5" t="s">
        <v>64</v>
      </c>
      <c r="E97" s="9">
        <f>E93-1.5*E96</f>
        <v>5.5</v>
      </c>
      <c r="F97" s="9">
        <f>F93-1.5*F96</f>
        <v>9.625</v>
      </c>
      <c r="G97" s="9">
        <f>G93-1.5*G96</f>
        <v>1</v>
      </c>
      <c r="H97" s="9">
        <f>H93-1.5*H96</f>
        <v>4.375</v>
      </c>
      <c r="I97" s="9">
        <f>I93-1.5*I96</f>
        <v>6.875</v>
      </c>
      <c r="J97" s="5"/>
      <c r="K97" s="5">
        <f>1+6*4/59</f>
        <v>1.4067796610169492</v>
      </c>
      <c r="L97" s="5">
        <f t="shared" si="0"/>
        <v>16.836281548368</v>
      </c>
      <c r="M97" s="5">
        <f>L97-$B$23*$B$18*SQRT(1/$B$12+(K97-AVERAGE(Данные!$B$2:$B$75))^2/DEVSQ(Данные!$B$2:$B$75))</f>
        <v>14.55399626103123</v>
      </c>
      <c r="N97" s="5">
        <f>L97+$B$23*$B$18*SQRT(1/$B$12+(K97-AVERAGE(Данные!$B$2:$B$75))^2/DEVSQ(Данные!$B$2:$B$75))</f>
        <v>19.118566835704769</v>
      </c>
      <c r="O97" s="5"/>
      <c r="P97" s="5"/>
      <c r="Q97" s="5"/>
      <c r="S97">
        <f t="shared" si="1"/>
        <v>1.4067796610169492</v>
      </c>
      <c r="T97">
        <f t="shared" si="2"/>
        <v>14.55399626103123</v>
      </c>
    </row>
    <row r="98" spans="1:22" x14ac:dyDescent="0.25">
      <c r="A98" s="5"/>
      <c r="B98" s="5"/>
      <c r="C98" s="5"/>
      <c r="D98" s="5" t="s">
        <v>65</v>
      </c>
      <c r="E98" s="9">
        <f>E95+1.5*E96</f>
        <v>25.5</v>
      </c>
      <c r="F98" s="9">
        <f>F95+1.5*F96</f>
        <v>28.625</v>
      </c>
      <c r="G98" s="9">
        <f>G95+1.5*G96</f>
        <v>25</v>
      </c>
      <c r="H98" s="9">
        <f>H95+1.5*H96</f>
        <v>21.375</v>
      </c>
      <c r="I98" s="9">
        <f>I95+1.5*I96</f>
        <v>17.875</v>
      </c>
      <c r="J98" s="5"/>
      <c r="K98" s="5">
        <f>1+7*4/59</f>
        <v>1.4745762711864407</v>
      </c>
      <c r="L98" s="5">
        <f t="shared" si="0"/>
        <v>16.749939202977469</v>
      </c>
      <c r="M98" s="5">
        <f>L98-$B$23*$B$18*SQRT(1/$B$12+(K98-AVERAGE(Данные!$B$2:$B$75))^2/DEVSQ(Данные!$B$2:$B$75))</f>
        <v>14.53160336897691</v>
      </c>
      <c r="N98" s="5">
        <f>L98+$B$23*$B$18*SQRT(1/$B$12+(K98-AVERAGE(Данные!$B$2:$B$75))^2/DEVSQ(Данные!$B$2:$B$75))</f>
        <v>18.968275036978028</v>
      </c>
      <c r="O98" s="5"/>
      <c r="P98" s="5"/>
      <c r="Q98" s="5"/>
      <c r="S98">
        <f t="shared" si="1"/>
        <v>1.4745762711864407</v>
      </c>
      <c r="T98">
        <f t="shared" si="2"/>
        <v>14.53160336897691</v>
      </c>
    </row>
    <row r="99" spans="1:22" x14ac:dyDescent="0.25">
      <c r="A99" s="5"/>
      <c r="B99" s="5"/>
      <c r="C99" s="5"/>
      <c r="D99" s="5" t="s">
        <v>66</v>
      </c>
      <c r="E99" s="9">
        <f>_xlfn.MINIFS(E12:E18,E12:E18,"&gt;="&amp;E97)</f>
        <v>11</v>
      </c>
      <c r="F99" s="9">
        <f>_xlfn.MINIFS(F12:F23,F12:F23,"&gt;="&amp;F97)</f>
        <v>12</v>
      </c>
      <c r="G99" s="9">
        <f>_xlfn.MINIFS(G12:G36,G12:G36,"&gt;="&amp;G97)</f>
        <v>5</v>
      </c>
      <c r="H99" s="9">
        <f>_xlfn.MINIFS(H12:H35,H12:H35,"&gt;="&amp;H97)</f>
        <v>7</v>
      </c>
      <c r="I99" s="9">
        <f>_xlfn.MINIFS(I12:I17,I12:I17,"&gt;="&amp;I97)</f>
        <v>7</v>
      </c>
      <c r="J99" s="5"/>
      <c r="K99" s="5">
        <f>1+8*4/59</f>
        <v>1.5423728813559321</v>
      </c>
      <c r="L99" s="5">
        <f t="shared" si="0"/>
        <v>16.663596857586942</v>
      </c>
      <c r="M99" s="5">
        <f>L99-$B$23*$B$18*SQRT(1/$B$12+(K99-AVERAGE(Данные!$B$2:$B$75))^2/DEVSQ(Данные!$B$2:$B$75))</f>
        <v>14.508436256896493</v>
      </c>
      <c r="N99" s="5">
        <f>L99+$B$23*$B$18*SQRT(1/$B$12+(K99-AVERAGE(Данные!$B$2:$B$75))^2/DEVSQ(Данные!$B$2:$B$75))</f>
        <v>18.818757458277393</v>
      </c>
      <c r="O99" s="5"/>
      <c r="P99" s="5"/>
      <c r="Q99" s="5"/>
      <c r="S99">
        <f t="shared" si="1"/>
        <v>1.5423728813559321</v>
      </c>
      <c r="T99">
        <f t="shared" si="2"/>
        <v>14.508436256896493</v>
      </c>
    </row>
    <row r="100" spans="1:22" x14ac:dyDescent="0.25">
      <c r="A100" s="5"/>
      <c r="B100" s="5"/>
      <c r="C100" s="5"/>
      <c r="D100" s="5" t="s">
        <v>67</v>
      </c>
      <c r="E100" s="9">
        <f>_xlfn.MAXIFS(E12:E18,E12:E18,"&lt;="&amp;E98)</f>
        <v>20</v>
      </c>
      <c r="F100" s="9">
        <f>_xlfn.MAXIFS(F12:F23,F12:F23,"&lt;="&amp;F98)</f>
        <v>27</v>
      </c>
      <c r="G100" s="9">
        <f>_xlfn.MAXIFS(G12:G36,G12:G36,"&lt;="&amp;G98)</f>
        <v>20</v>
      </c>
      <c r="H100" s="9">
        <f>_xlfn.MAXIFS(H12:H35,H12:H35,"&lt;="&amp;H98)</f>
        <v>21</v>
      </c>
      <c r="I100" s="9">
        <f>_xlfn.MAXIFS(I12:I17,I12:I17,"&lt;="&amp;I98)</f>
        <v>14</v>
      </c>
      <c r="J100" s="5"/>
      <c r="K100" s="5">
        <f>1+9*4/59</f>
        <v>1.6101694915254239</v>
      </c>
      <c r="L100" s="5">
        <f t="shared" si="0"/>
        <v>16.577254512196411</v>
      </c>
      <c r="M100" s="5">
        <f>L100-$B$23*$B$18*SQRT(1/$B$12+(K100-AVERAGE(Данные!$B$2:$B$75))^2/DEVSQ(Данные!$B$2:$B$75))</f>
        <v>14.484424810604269</v>
      </c>
      <c r="N100" s="5">
        <f>L100+$B$23*$B$18*SQRT(1/$B$12+(K100-AVERAGE(Данные!$B$2:$B$75))^2/DEVSQ(Данные!$B$2:$B$75))</f>
        <v>18.670084213788556</v>
      </c>
      <c r="O100" s="5"/>
      <c r="P100" s="5"/>
      <c r="Q100" s="5"/>
      <c r="S100">
        <f t="shared" si="1"/>
        <v>1.6101694915254239</v>
      </c>
      <c r="T100">
        <f t="shared" si="2"/>
        <v>14.484424810604269</v>
      </c>
    </row>
    <row r="101" spans="1:22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>
        <f>1+10*4/59</f>
        <v>1.6779661016949152</v>
      </c>
      <c r="L101" s="5">
        <f t="shared" si="0"/>
        <v>16.490912166805884</v>
      </c>
      <c r="M101" s="5">
        <f>L101-$B$23*$B$18*SQRT(1/$B$12+(K101-AVERAGE(Данные!$B$2:$B$75))^2/DEVSQ(Данные!$B$2:$B$75))</f>
        <v>14.459491307479958</v>
      </c>
      <c r="N101" s="5">
        <f>L101+$B$23*$B$18*SQRT(1/$B$12+(K101-AVERAGE(Данные!$B$2:$B$75))^2/DEVSQ(Данные!$B$2:$B$75))</f>
        <v>18.522333026131811</v>
      </c>
      <c r="O101" s="5"/>
      <c r="P101" s="5"/>
      <c r="Q101" s="5"/>
      <c r="S101">
        <f t="shared" si="1"/>
        <v>1.6779661016949152</v>
      </c>
      <c r="T101">
        <f t="shared" si="2"/>
        <v>14.459491307479958</v>
      </c>
    </row>
    <row r="102" spans="1:22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>
        <f>1+11*4/59</f>
        <v>1.7457627118644068</v>
      </c>
      <c r="L102" s="5">
        <f t="shared" si="0"/>
        <v>16.404569821415357</v>
      </c>
      <c r="M102" s="5">
        <f>L102-$B$23*$B$18*SQRT(1/$B$12+(K102-AVERAGE(Данные!$B$2:$B$75))^2/DEVSQ(Данные!$B$2:$B$75))</f>
        <v>14.433549563203107</v>
      </c>
      <c r="N102" s="5">
        <f>L102+$B$23*$B$18*SQRT(1/$B$12+(K102-AVERAGE(Данные!$B$2:$B$75))^2/DEVSQ(Данные!$B$2:$B$75))</f>
        <v>18.375590079627607</v>
      </c>
      <c r="O102" s="5"/>
      <c r="P102" s="5"/>
      <c r="Q102" s="5"/>
      <c r="S102">
        <f t="shared" si="1"/>
        <v>1.7457627118644068</v>
      </c>
      <c r="T102">
        <f t="shared" si="2"/>
        <v>14.433549563203107</v>
      </c>
    </row>
    <row r="103" spans="1:22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>
        <f>1+12*4/59</f>
        <v>1.8135593220338984</v>
      </c>
      <c r="L103" s="5">
        <f t="shared" si="0"/>
        <v>16.318227476024827</v>
      </c>
      <c r="M103" s="5">
        <f>L103-$B$23*$B$18*SQRT(1/$B$12+(K103-AVERAGE(Данные!$B$2:$B$75))^2/DEVSQ(Данные!$B$2:$B$75))</f>
        <v>14.406504009724831</v>
      </c>
      <c r="N103" s="5">
        <f>L103+$B$23*$B$18*SQRT(1/$B$12+(K103-AVERAGE(Данные!$B$2:$B$75))^2/DEVSQ(Данные!$B$2:$B$75))</f>
        <v>18.229950942324823</v>
      </c>
      <c r="O103" s="5"/>
      <c r="P103" s="5"/>
      <c r="Q103" s="5"/>
      <c r="S103">
        <f t="shared" si="1"/>
        <v>1.8135593220338984</v>
      </c>
      <c r="T103">
        <f t="shared" si="2"/>
        <v>14.406504009724831</v>
      </c>
    </row>
    <row r="104" spans="1:22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>
        <f>1+13*4/59</f>
        <v>1.8813559322033897</v>
      </c>
      <c r="L104" s="5">
        <f t="shared" si="0"/>
        <v>16.2318851306343</v>
      </c>
      <c r="M104" s="5">
        <f>L104-$B$23*$B$18*SQRT(1/$B$12+(K104-AVERAGE(Данные!$B$2:$B$75))^2/DEVSQ(Данные!$B$2:$B$75))</f>
        <v>14.378248713301753</v>
      </c>
      <c r="N104" s="5">
        <f>L104+$B$23*$B$18*SQRT(1/$B$12+(K104-AVERAGE(Данные!$B$2:$B$75))^2/DEVSQ(Данные!$B$2:$B$75))</f>
        <v>18.085521547966849</v>
      </c>
      <c r="O104" s="5"/>
      <c r="P104" s="5"/>
      <c r="Q104" s="5"/>
      <c r="S104">
        <f t="shared" si="1"/>
        <v>1.8813559322033897</v>
      </c>
      <c r="T104">
        <f t="shared" si="2"/>
        <v>14.378248713301753</v>
      </c>
    </row>
    <row r="105" spans="1:22" x14ac:dyDescent="0.25">
      <c r="A105" s="5"/>
      <c r="B105" s="5" t="str">
        <f>Спирман_графики!D7&amp;CHAR(10)&amp;Спирман_графики!B9</f>
        <v>К1 в зависимости от Л1
ρ = −0,262; p = 0,0241; n = 74</v>
      </c>
      <c r="C105" s="5"/>
      <c r="D105" s="5"/>
      <c r="E105" s="5"/>
      <c r="F105" s="5"/>
      <c r="G105" s="5"/>
      <c r="H105" s="5"/>
      <c r="I105" s="5"/>
      <c r="J105" s="5"/>
      <c r="K105" s="5">
        <f>1+14*4/59</f>
        <v>1.9491525423728815</v>
      </c>
      <c r="L105" s="5">
        <f t="shared" si="0"/>
        <v>16.145542785243769</v>
      </c>
      <c r="M105" s="5">
        <f>L105-$B$23*$B$18*SQRT(1/$B$12+(K105-AVERAGE(Данные!$B$2:$B$75))^2/DEVSQ(Данные!$B$2:$B$75))</f>
        <v>14.348666349185576</v>
      </c>
      <c r="N105" s="5">
        <f>L105+$B$23*$B$18*SQRT(1/$B$12+(K105-AVERAGE(Данные!$B$2:$B$75))^2/DEVSQ(Данные!$B$2:$B$75))</f>
        <v>17.942419221301961</v>
      </c>
      <c r="O105" s="5"/>
      <c r="P105" s="5"/>
      <c r="Q105" s="5"/>
      <c r="S105">
        <f t="shared" si="1"/>
        <v>1.9491525423728815</v>
      </c>
      <c r="T105">
        <f t="shared" si="2"/>
        <v>14.348666349185576</v>
      </c>
    </row>
    <row r="106" spans="1:22" x14ac:dyDescent="0.25">
      <c r="A106" s="5"/>
      <c r="B106" s="5" t="str">
        <f>Регрессия_графики!D7&amp;CHAR(10)&amp;Регрессия_графики!B9</f>
        <v>Линейная регрессия К1 по Л1
ŷ = 18,628 − 1,274x; R² = 0,067; p = 0,0263; n = 74</v>
      </c>
      <c r="C106" s="5"/>
      <c r="D106" s="5"/>
      <c r="E106" s="5"/>
      <c r="F106" s="5"/>
      <c r="G106" s="5"/>
      <c r="H106" s="5"/>
      <c r="I106" s="5"/>
      <c r="J106" s="5"/>
      <c r="K106" s="5">
        <f>1+15*4/59</f>
        <v>2.0169491525423728</v>
      </c>
      <c r="L106" s="5">
        <f t="shared" si="0"/>
        <v>16.059200439853242</v>
      </c>
      <c r="M106" s="5">
        <f>L106-$B$23*$B$18*SQRT(1/$B$12+(K106-AVERAGE(Данные!$B$2:$B$75))^2/DEVSQ(Данные!$B$2:$B$75))</f>
        <v>14.317627160315075</v>
      </c>
      <c r="N106" s="5">
        <f>L106+$B$23*$B$18*SQRT(1/$B$12+(K106-AVERAGE(Данные!$B$2:$B$75))^2/DEVSQ(Данные!$B$2:$B$75))</f>
        <v>17.800773719391408</v>
      </c>
      <c r="O106" s="5"/>
      <c r="P106" s="5"/>
      <c r="Q106" s="5"/>
      <c r="S106">
        <f t="shared" si="1"/>
        <v>2.0169491525423728</v>
      </c>
      <c r="T106">
        <f t="shared" si="2"/>
        <v>14.317627160315075</v>
      </c>
    </row>
    <row r="107" spans="1:22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>
        <f>1+16*4/59</f>
        <v>2.0847457627118642</v>
      </c>
      <c r="L107" s="5">
        <f t="shared" si="0"/>
        <v>15.972858094462715</v>
      </c>
      <c r="M107" s="5">
        <f>L107-$B$23*$B$18*SQRT(1/$B$12+(K107-AVERAGE(Данные!$B$2:$B$75))^2/DEVSQ(Данные!$B$2:$B$75))</f>
        <v>14.284987941790467</v>
      </c>
      <c r="N107" s="5">
        <f>L107+$B$23*$B$18*SQRT(1/$B$12+(K107-AVERAGE(Данные!$B$2:$B$75))^2/DEVSQ(Данные!$B$2:$B$75))</f>
        <v>17.660728247134966</v>
      </c>
      <c r="O107" s="5"/>
      <c r="P107" s="5"/>
      <c r="Q107" s="5"/>
      <c r="S107">
        <f t="shared" si="1"/>
        <v>2.0847457627118642</v>
      </c>
      <c r="T107">
        <f t="shared" si="2"/>
        <v>14.284987941790467</v>
      </c>
    </row>
    <row r="108" spans="1:22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>
        <f>1+17*4/59</f>
        <v>2.152542372881356</v>
      </c>
      <c r="L108" s="5">
        <f t="shared" si="0"/>
        <v>15.886515749072187</v>
      </c>
      <c r="M108" s="5">
        <f>L108-$B$23*$B$18*SQRT(1/$B$12+(K108-AVERAGE(Данные!$B$2:$B$75))^2/DEVSQ(Данные!$B$2:$B$75))</f>
        <v>14.250591111656778</v>
      </c>
      <c r="N108" s="5">
        <f>L108+$B$23*$B$18*SQRT(1/$B$12+(K108-AVERAGE(Данные!$B$2:$B$75))^2/DEVSQ(Данные!$B$2:$B$75))</f>
        <v>17.522440386487595</v>
      </c>
      <c r="O108" s="5"/>
      <c r="P108" s="5"/>
      <c r="Q108" s="5"/>
      <c r="S108">
        <f t="shared" si="1"/>
        <v>2.152542372881356</v>
      </c>
      <c r="T108">
        <f t="shared" si="2"/>
        <v>14.250591111656778</v>
      </c>
    </row>
    <row r="109" spans="1:22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>
        <f>1+18*4/59</f>
        <v>2.2203389830508478</v>
      </c>
      <c r="L109" s="5">
        <f t="shared" si="0"/>
        <v>15.800173403681658</v>
      </c>
      <c r="M109" s="5">
        <f>L109-$B$23*$B$18*SQRT(1/$B$12+(K109-AVERAGE(Данные!$B$2:$B$75))^2/DEVSQ(Данные!$B$2:$B$75))</f>
        <v>14.214263951958763</v>
      </c>
      <c r="N109" s="5">
        <f>L109+$B$23*$B$18*SQRT(1/$B$12+(K109-AVERAGE(Данные!$B$2:$B$75))^2/DEVSQ(Данные!$B$2:$B$75))</f>
        <v>17.386082855404553</v>
      </c>
      <c r="O109" s="5"/>
      <c r="P109" s="5"/>
      <c r="Q109" s="5"/>
      <c r="S109">
        <f t="shared" si="1"/>
        <v>2.2203389830508478</v>
      </c>
      <c r="T109">
        <f t="shared" si="2"/>
        <v>14.214263951958763</v>
      </c>
      <c r="U109" t="s">
        <v>68</v>
      </c>
    </row>
    <row r="110" spans="1:22" x14ac:dyDescent="0.25">
      <c r="A110" s="5">
        <v>0.75</v>
      </c>
      <c r="B110" s="5">
        <f>E93</f>
        <v>13</v>
      </c>
      <c r="C110" s="5"/>
      <c r="D110" s="5"/>
      <c r="E110" s="5"/>
      <c r="F110" s="5"/>
      <c r="G110" s="5"/>
      <c r="H110" s="5"/>
      <c r="I110" s="5"/>
      <c r="J110" s="5"/>
      <c r="K110" s="5">
        <f>1+19*4/59</f>
        <v>2.2881355932203391</v>
      </c>
      <c r="L110" s="5">
        <f t="shared" si="0"/>
        <v>15.713831058291129</v>
      </c>
      <c r="M110" s="5">
        <f>L110-$B$23*$B$18*SQRT(1/$B$12+(K110-AVERAGE(Данные!$B$2:$B$75))^2/DEVSQ(Данные!$B$2:$B$75))</f>
        <v>14.175818131958691</v>
      </c>
      <c r="N110" s="5">
        <f>L110+$B$23*$B$18*SQRT(1/$B$12+(K110-AVERAGE(Данные!$B$2:$B$75))^2/DEVSQ(Данные!$B$2:$B$75))</f>
        <v>17.251843984623569</v>
      </c>
      <c r="O110" s="5"/>
      <c r="P110" s="5"/>
      <c r="Q110" s="5"/>
      <c r="S110">
        <f t="shared" si="1"/>
        <v>2.2881355932203391</v>
      </c>
      <c r="T110">
        <f t="shared" si="2"/>
        <v>14.175818131958691</v>
      </c>
      <c r="U110">
        <f>A116</f>
        <v>0.75</v>
      </c>
      <c r="V110">
        <f>B116</f>
        <v>14</v>
      </c>
    </row>
    <row r="111" spans="1:22" x14ac:dyDescent="0.25">
      <c r="A111" s="5">
        <v>1.25</v>
      </c>
      <c r="B111" s="5">
        <f>E93</f>
        <v>13</v>
      </c>
      <c r="C111" s="5"/>
      <c r="D111" s="5"/>
      <c r="E111" s="5"/>
      <c r="F111" s="5"/>
      <c r="G111" s="5"/>
      <c r="H111" s="5"/>
      <c r="I111" s="5"/>
      <c r="J111" s="5"/>
      <c r="K111" s="5">
        <f>1+20*4/59</f>
        <v>2.3559322033898304</v>
      </c>
      <c r="L111" s="5">
        <f t="shared" si="0"/>
        <v>15.6274887129006</v>
      </c>
      <c r="M111" s="5">
        <f>L111-$B$23*$B$18*SQRT(1/$B$12+(K111-AVERAGE(Данные!$B$2:$B$75))^2/DEVSQ(Данные!$B$2:$B$75))</f>
        <v>14.135049656587842</v>
      </c>
      <c r="N111" s="5">
        <f>L111+$B$23*$B$18*SQRT(1/$B$12+(K111-AVERAGE(Данные!$B$2:$B$75))^2/DEVSQ(Данные!$B$2:$B$75))</f>
        <v>17.119927769213358</v>
      </c>
      <c r="O111" s="5"/>
      <c r="P111" s="5"/>
      <c r="Q111" s="5"/>
      <c r="S111">
        <f t="shared" si="1"/>
        <v>2.3559322033898304</v>
      </c>
      <c r="T111">
        <f t="shared" si="2"/>
        <v>14.135049656587842</v>
      </c>
      <c r="U111">
        <f>A117</f>
        <v>1.25</v>
      </c>
      <c r="V111">
        <f>B117</f>
        <v>14</v>
      </c>
    </row>
    <row r="112" spans="1:22" x14ac:dyDescent="0.25">
      <c r="A112" s="5">
        <v>1.25</v>
      </c>
      <c r="B112" s="5">
        <f>E95</f>
        <v>18</v>
      </c>
      <c r="C112" s="5"/>
      <c r="D112" s="5"/>
      <c r="E112" s="5"/>
      <c r="F112" s="5"/>
      <c r="G112" s="5"/>
      <c r="H112" s="5"/>
      <c r="I112" s="5"/>
      <c r="J112" s="5"/>
      <c r="K112" s="5">
        <f>1+21*4/59</f>
        <v>2.4237288135593218</v>
      </c>
      <c r="L112" s="5">
        <f t="shared" si="0"/>
        <v>15.541146367510073</v>
      </c>
      <c r="M112" s="5">
        <f>L112-$B$23*$B$18*SQRT(1/$B$12+(K112-AVERAGE(Данные!$B$2:$B$75))^2/DEVSQ(Данные!$B$2:$B$75))</f>
        <v>14.091739414722092</v>
      </c>
      <c r="N112" s="5">
        <f>L112+$B$23*$B$18*SQRT(1/$B$12+(K112-AVERAGE(Данные!$B$2:$B$75))^2/DEVSQ(Данные!$B$2:$B$75))</f>
        <v>16.990553320298055</v>
      </c>
      <c r="O112" s="5"/>
      <c r="P112" s="5"/>
      <c r="Q112" s="5"/>
      <c r="S112">
        <f t="shared" si="1"/>
        <v>2.4237288135593218</v>
      </c>
      <c r="T112">
        <f t="shared" si="2"/>
        <v>14.091739414722092</v>
      </c>
    </row>
    <row r="113" spans="1:22" x14ac:dyDescent="0.25">
      <c r="A113" s="5">
        <v>0.75</v>
      </c>
      <c r="B113" s="5">
        <f>E95</f>
        <v>18</v>
      </c>
      <c r="C113" s="5"/>
      <c r="D113" s="5"/>
      <c r="E113" s="5"/>
      <c r="F113" s="5"/>
      <c r="G113" s="5"/>
      <c r="H113" s="5"/>
      <c r="I113" s="5"/>
      <c r="J113" s="5"/>
      <c r="K113" s="5">
        <f>1+22*4/59</f>
        <v>2.4915254237288136</v>
      </c>
      <c r="L113" s="5">
        <f t="shared" si="0"/>
        <v>15.454804022119545</v>
      </c>
      <c r="M113" s="5">
        <f>L113-$B$23*$B$18*SQRT(1/$B$12+(K113-AVERAGE(Данные!$B$2:$B$75))^2/DEVSQ(Данные!$B$2:$B$75))</f>
        <v>14.045654528448647</v>
      </c>
      <c r="N113" s="5">
        <f>L113+$B$23*$B$18*SQRT(1/$B$12+(K113-AVERAGE(Данные!$B$2:$B$75))^2/DEVSQ(Данные!$B$2:$B$75))</f>
        <v>16.863953515790442</v>
      </c>
      <c r="O113" s="5"/>
      <c r="P113" s="5"/>
      <c r="Q113" s="5"/>
      <c r="S113">
        <f t="shared" si="1"/>
        <v>2.4915254237288136</v>
      </c>
      <c r="T113">
        <f t="shared" si="2"/>
        <v>14.045654528448647</v>
      </c>
      <c r="U113">
        <f>A135</f>
        <v>1.75</v>
      </c>
      <c r="V113">
        <f>B135</f>
        <v>18.5</v>
      </c>
    </row>
    <row r="114" spans="1:22" x14ac:dyDescent="0.25">
      <c r="A114" s="5">
        <v>0.75</v>
      </c>
      <c r="B114" s="5">
        <f>E93</f>
        <v>13</v>
      </c>
      <c r="C114" s="5"/>
      <c r="D114" s="5"/>
      <c r="E114" s="5"/>
      <c r="F114" s="5"/>
      <c r="G114" s="5"/>
      <c r="H114" s="5"/>
      <c r="I114" s="5"/>
      <c r="J114" s="5"/>
      <c r="K114" s="5">
        <f>1+23*4/59</f>
        <v>2.5593220338983054</v>
      </c>
      <c r="L114" s="5">
        <f t="shared" si="0"/>
        <v>15.368461676729016</v>
      </c>
      <c r="M114" s="5">
        <f>L114-$B$23*$B$18*SQRT(1/$B$12+(K114-AVERAGE(Данные!$B$2:$B$75))^2/DEVSQ(Данные!$B$2:$B$75))</f>
        <v>13.996550717892353</v>
      </c>
      <c r="N114" s="5">
        <f>L114+$B$23*$B$18*SQRT(1/$B$12+(K114-AVERAGE(Данные!$B$2:$B$75))^2/DEVSQ(Данные!$B$2:$B$75))</f>
        <v>16.740372635565677</v>
      </c>
      <c r="O114" s="5"/>
      <c r="P114" s="5"/>
      <c r="Q114" s="5"/>
      <c r="S114">
        <f t="shared" si="1"/>
        <v>2.5593220338983054</v>
      </c>
      <c r="T114">
        <f t="shared" si="2"/>
        <v>13.996550717892353</v>
      </c>
      <c r="U114">
        <f>A136</f>
        <v>2.25</v>
      </c>
      <c r="V114">
        <f>B136</f>
        <v>18.5</v>
      </c>
    </row>
    <row r="115" spans="1:22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>
        <f>1+24*4/59</f>
        <v>2.6271186440677967</v>
      </c>
      <c r="L115" s="5">
        <f t="shared" si="0"/>
        <v>15.282119331338487</v>
      </c>
      <c r="M115" s="5">
        <f>L115-$B$23*$B$18*SQRT(1/$B$12+(K115-AVERAGE(Данные!$B$2:$B$75))^2/DEVSQ(Данные!$B$2:$B$75))</f>
        <v>13.94417588515711</v>
      </c>
      <c r="N115" s="5">
        <f>L115+$B$23*$B$18*SQRT(1/$B$12+(K115-AVERAGE(Данные!$B$2:$B$75))^2/DEVSQ(Данные!$B$2:$B$75))</f>
        <v>16.620062777519866</v>
      </c>
      <c r="O115" s="5"/>
      <c r="P115" s="5"/>
      <c r="Q115" s="5"/>
      <c r="S115">
        <f t="shared" si="1"/>
        <v>2.6271186440677967</v>
      </c>
      <c r="T115">
        <f t="shared" si="2"/>
        <v>13.94417588515711</v>
      </c>
    </row>
    <row r="116" spans="1:22" x14ac:dyDescent="0.25">
      <c r="A116" s="5">
        <v>0.75</v>
      </c>
      <c r="B116" s="5">
        <f>E94</f>
        <v>14</v>
      </c>
      <c r="C116" s="5"/>
      <c r="D116" s="5"/>
      <c r="E116" s="5"/>
      <c r="F116" s="5"/>
      <c r="G116" s="5"/>
      <c r="H116" s="5"/>
      <c r="I116" s="5"/>
      <c r="J116" s="5"/>
      <c r="K116" s="5">
        <f>1+25*4/59</f>
        <v>2.6949152542372881</v>
      </c>
      <c r="L116" s="5">
        <f t="shared" si="0"/>
        <v>15.19577698594796</v>
      </c>
      <c r="M116" s="5">
        <f>L116-$B$23*$B$18*SQRT(1/$B$12+(K116-AVERAGE(Данные!$B$2:$B$75))^2/DEVSQ(Данные!$B$2:$B$75))</f>
        <v>13.888275072326548</v>
      </c>
      <c r="N116" s="5">
        <f>L116+$B$23*$B$18*SQRT(1/$B$12+(K116-AVERAGE(Данные!$B$2:$B$75))^2/DEVSQ(Данные!$B$2:$B$75))</f>
        <v>16.50327889956937</v>
      </c>
      <c r="O116" s="5"/>
      <c r="P116" s="5"/>
      <c r="Q116" s="5"/>
      <c r="S116">
        <f t="shared" si="1"/>
        <v>2.6949152542372881</v>
      </c>
      <c r="T116">
        <f t="shared" si="2"/>
        <v>13.888275072326548</v>
      </c>
      <c r="U116">
        <f>A154</f>
        <v>2.75</v>
      </c>
      <c r="V116">
        <f>B154</f>
        <v>14</v>
      </c>
    </row>
    <row r="117" spans="1:22" x14ac:dyDescent="0.25">
      <c r="A117" s="5">
        <v>1.25</v>
      </c>
      <c r="B117" s="5">
        <f>E94</f>
        <v>14</v>
      </c>
      <c r="C117" s="5"/>
      <c r="D117" s="5"/>
      <c r="E117" s="5"/>
      <c r="F117" s="5"/>
      <c r="G117" s="5"/>
      <c r="H117" s="5"/>
      <c r="I117" s="5"/>
      <c r="J117" s="5"/>
      <c r="K117" s="5">
        <f>1+26*4/59</f>
        <v>2.7627118644067794</v>
      </c>
      <c r="L117" s="5">
        <f t="shared" si="0"/>
        <v>15.109434640557431</v>
      </c>
      <c r="M117" s="5">
        <f>L117-$B$23*$B$18*SQRT(1/$B$12+(K117-AVERAGE(Данные!$B$2:$B$75))^2/DEVSQ(Данные!$B$2:$B$75))</f>
        <v>13.82859684996567</v>
      </c>
      <c r="N117" s="5">
        <f>L117+$B$23*$B$18*SQRT(1/$B$12+(K117-AVERAGE(Данные!$B$2:$B$75))^2/DEVSQ(Данные!$B$2:$B$75))</f>
        <v>16.390272431149192</v>
      </c>
      <c r="O117" s="5"/>
      <c r="P117" s="5"/>
      <c r="Q117" s="5"/>
      <c r="S117">
        <f t="shared" si="1"/>
        <v>2.7627118644067794</v>
      </c>
      <c r="T117">
        <f t="shared" si="2"/>
        <v>13.82859684996567</v>
      </c>
      <c r="U117">
        <f>A155</f>
        <v>3.25</v>
      </c>
      <c r="V117">
        <f>B155</f>
        <v>14</v>
      </c>
    </row>
    <row r="118" spans="1:22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>
        <f>1+27*4/59</f>
        <v>2.8305084745762712</v>
      </c>
      <c r="L118" s="5">
        <f t="shared" si="0"/>
        <v>15.023092295166903</v>
      </c>
      <c r="M118" s="5">
        <f>L118-$B$23*$B$18*SQRT(1/$B$12+(K118-AVERAGE(Данные!$B$2:$B$75))^2/DEVSQ(Данные!$B$2:$B$75))</f>
        <v>13.764901037753031</v>
      </c>
      <c r="N118" s="5">
        <f>L118+$B$23*$B$18*SQRT(1/$B$12+(K118-AVERAGE(Данные!$B$2:$B$75))^2/DEVSQ(Данные!$B$2:$B$75))</f>
        <v>16.281283552580774</v>
      </c>
      <c r="O118" s="5"/>
      <c r="P118" s="5"/>
      <c r="Q118" s="5"/>
      <c r="S118">
        <f t="shared" si="1"/>
        <v>2.8305084745762712</v>
      </c>
      <c r="T118">
        <f t="shared" si="2"/>
        <v>13.764901037753031</v>
      </c>
    </row>
    <row r="119" spans="1:22" x14ac:dyDescent="0.25">
      <c r="A119" s="5">
        <v>0.87</v>
      </c>
      <c r="B119" s="5">
        <f>E99</f>
        <v>11</v>
      </c>
      <c r="C119" s="5"/>
      <c r="D119" s="5"/>
      <c r="E119" s="5"/>
      <c r="F119" s="5"/>
      <c r="G119" s="5"/>
      <c r="H119" s="5"/>
      <c r="I119" s="5"/>
      <c r="J119" s="5"/>
      <c r="K119" s="5">
        <f>1+28*4/59</f>
        <v>2.898305084745763</v>
      </c>
      <c r="L119" s="5">
        <f t="shared" si="0"/>
        <v>14.936749949776374</v>
      </c>
      <c r="M119" s="5">
        <f>L119-$B$23*$B$18*SQRT(1/$B$12+(K119-AVERAGE(Данные!$B$2:$B$75))^2/DEVSQ(Данные!$B$2:$B$75))</f>
        <v>13.69696745377242</v>
      </c>
      <c r="N119" s="5">
        <f>L119+$B$23*$B$18*SQRT(1/$B$12+(K119-AVERAGE(Данные!$B$2:$B$75))^2/DEVSQ(Данные!$B$2:$B$75))</f>
        <v>16.176532445780328</v>
      </c>
      <c r="O119" s="5"/>
      <c r="P119" s="5"/>
      <c r="Q119" s="5"/>
      <c r="S119">
        <f t="shared" si="1"/>
        <v>2.898305084745763</v>
      </c>
      <c r="T119">
        <f t="shared" si="2"/>
        <v>13.69696745377242</v>
      </c>
      <c r="U119">
        <f>A173</f>
        <v>3.75</v>
      </c>
      <c r="V119">
        <f>B173</f>
        <v>14</v>
      </c>
    </row>
    <row r="120" spans="1:22" x14ac:dyDescent="0.25">
      <c r="A120" s="5">
        <v>1.1299999999999999</v>
      </c>
      <c r="B120" s="5">
        <f>E99</f>
        <v>11</v>
      </c>
      <c r="C120" s="5"/>
      <c r="D120" s="5"/>
      <c r="E120" s="5"/>
      <c r="F120" s="5"/>
      <c r="G120" s="5"/>
      <c r="H120" s="5"/>
      <c r="I120" s="5"/>
      <c r="J120" s="5"/>
      <c r="K120" s="5">
        <f>1+29*4/59</f>
        <v>2.9661016949152543</v>
      </c>
      <c r="L120" s="5">
        <f t="shared" si="0"/>
        <v>14.850407604385847</v>
      </c>
      <c r="M120" s="5">
        <f>L120-$B$23*$B$18*SQRT(1/$B$12+(K120-AVERAGE(Данные!$B$2:$B$75))^2/DEVSQ(Данные!$B$2:$B$75))</f>
        <v>13.624605158106972</v>
      </c>
      <c r="N120" s="5">
        <f>L120+$B$23*$B$18*SQRT(1/$B$12+(K120-AVERAGE(Данные!$B$2:$B$75))^2/DEVSQ(Данные!$B$2:$B$75))</f>
        <v>16.076210050664724</v>
      </c>
      <c r="O120" s="5"/>
      <c r="P120" s="5"/>
      <c r="Q120" s="5"/>
      <c r="S120">
        <f t="shared" si="1"/>
        <v>2.9661016949152543</v>
      </c>
      <c r="T120">
        <f t="shared" si="2"/>
        <v>13.624605158106972</v>
      </c>
      <c r="U120">
        <f>A174</f>
        <v>4.25</v>
      </c>
      <c r="V120">
        <f>B174</f>
        <v>14</v>
      </c>
    </row>
    <row r="121" spans="1:22" x14ac:dyDescent="0.25">
      <c r="A121" s="5">
        <v>1</v>
      </c>
      <c r="B121" s="5">
        <f>E99</f>
        <v>11</v>
      </c>
      <c r="C121" s="5"/>
      <c r="D121" s="5"/>
      <c r="E121" s="5"/>
      <c r="F121" s="5"/>
      <c r="G121" s="5"/>
      <c r="H121" s="5"/>
      <c r="I121" s="5"/>
      <c r="J121" s="5"/>
      <c r="K121" s="5">
        <f>1+30*4/59</f>
        <v>3.0338983050847457</v>
      </c>
      <c r="L121" s="5">
        <f t="shared" si="0"/>
        <v>14.764065258995318</v>
      </c>
      <c r="M121" s="5">
        <f>L121-$B$23*$B$18*SQRT(1/$B$12+(K121-AVERAGE(Данные!$B$2:$B$75))^2/DEVSQ(Данные!$B$2:$B$75))</f>
        <v>13.547661444487515</v>
      </c>
      <c r="N121" s="5">
        <f>L121+$B$23*$B$18*SQRT(1/$B$12+(K121-AVERAGE(Данные!$B$2:$B$75))^2/DEVSQ(Данные!$B$2:$B$75))</f>
        <v>15.980469073503121</v>
      </c>
      <c r="O121" s="5"/>
      <c r="P121" s="5"/>
      <c r="Q121" s="5"/>
      <c r="S121">
        <f t="shared" si="1"/>
        <v>3.0338983050847457</v>
      </c>
      <c r="T121">
        <f t="shared" si="2"/>
        <v>13.547661444487515</v>
      </c>
    </row>
    <row r="122" spans="1:22" x14ac:dyDescent="0.25">
      <c r="A122" s="5">
        <v>1</v>
      </c>
      <c r="B122" s="5">
        <f>E93</f>
        <v>13</v>
      </c>
      <c r="C122" s="5"/>
      <c r="D122" s="5"/>
      <c r="E122" s="5"/>
      <c r="F122" s="5"/>
      <c r="G122" s="5"/>
      <c r="H122" s="5"/>
      <c r="I122" s="5"/>
      <c r="J122" s="5"/>
      <c r="K122" s="5">
        <f>1+31*4/59</f>
        <v>3.1016949152542375</v>
      </c>
      <c r="L122" s="5">
        <f t="shared" si="0"/>
        <v>14.677722913604789</v>
      </c>
      <c r="M122" s="5">
        <f>L122-$B$23*$B$18*SQRT(1/$B$12+(K122-AVERAGE(Данные!$B$2:$B$75))^2/DEVSQ(Данные!$B$2:$B$75))</f>
        <v>13.466029699406006</v>
      </c>
      <c r="N122" s="5">
        <f>L122+$B$23*$B$18*SQRT(1/$B$12+(K122-AVERAGE(Данные!$B$2:$B$75))^2/DEVSQ(Данные!$B$2:$B$75))</f>
        <v>15.889416127803573</v>
      </c>
      <c r="O122" s="5"/>
      <c r="P122" s="5"/>
      <c r="Q122" s="5"/>
      <c r="S122">
        <f t="shared" si="1"/>
        <v>3.1016949152542375</v>
      </c>
      <c r="T122">
        <f t="shared" si="2"/>
        <v>13.466029699406006</v>
      </c>
      <c r="U122">
        <f>A192</f>
        <v>4.75</v>
      </c>
      <c r="V122">
        <f>B192</f>
        <v>12</v>
      </c>
    </row>
    <row r="123" spans="1:22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>
        <f>1+32*4/59</f>
        <v>3.1694915254237288</v>
      </c>
      <c r="L123" s="5">
        <f t="shared" ref="L123:L154" si="3">$B$15+$B$16*K123</f>
        <v>14.591380568214262</v>
      </c>
      <c r="M123" s="5">
        <f>L123-$B$23*$B$18*SQRT(1/$B$12+(K123-AVERAGE(Данные!$B$2:$B$75))^2/DEVSQ(Данные!$B$2:$B$75))</f>
        <v>13.379655247251627</v>
      </c>
      <c r="N123" s="5">
        <f>L123+$B$23*$B$18*SQRT(1/$B$12+(K123-AVERAGE(Данные!$B$2:$B$75))^2/DEVSQ(Данные!$B$2:$B$75))</f>
        <v>15.803105889176898</v>
      </c>
      <c r="O123" s="5"/>
      <c r="P123" s="5"/>
      <c r="Q123" s="5"/>
      <c r="S123">
        <f t="shared" ref="S123:S150" si="4">K123</f>
        <v>3.1694915254237288</v>
      </c>
      <c r="T123">
        <f t="shared" ref="T123:T150" si="5">M123</f>
        <v>13.379655247251627</v>
      </c>
      <c r="U123">
        <f>A193</f>
        <v>5.25</v>
      </c>
      <c r="V123">
        <f>B193</f>
        <v>12</v>
      </c>
    </row>
    <row r="124" spans="1:22" x14ac:dyDescent="0.25">
      <c r="A124" s="5">
        <v>1</v>
      </c>
      <c r="B124" s="5">
        <f>E95</f>
        <v>18</v>
      </c>
      <c r="C124" s="5"/>
      <c r="D124" s="5"/>
      <c r="E124" s="5"/>
      <c r="F124" s="5"/>
      <c r="G124" s="5"/>
      <c r="H124" s="5"/>
      <c r="I124" s="5"/>
      <c r="J124" s="5"/>
      <c r="K124" s="5">
        <f>1+33*4/59</f>
        <v>3.2372881355932202</v>
      </c>
      <c r="L124" s="5">
        <f t="shared" si="3"/>
        <v>14.505038222823732</v>
      </c>
      <c r="M124" s="5">
        <f>L124-$B$23*$B$18*SQRT(1/$B$12+(K124-AVERAGE(Данные!$B$2:$B$75))^2/DEVSQ(Данные!$B$2:$B$75))</f>
        <v>13.288538463543439</v>
      </c>
      <c r="N124" s="5">
        <f>L124+$B$23*$B$18*SQRT(1/$B$12+(K124-AVERAGE(Данные!$B$2:$B$75))^2/DEVSQ(Данные!$B$2:$B$75))</f>
        <v>15.721537982104024</v>
      </c>
      <c r="O124" s="5"/>
      <c r="P124" s="5"/>
      <c r="Q124" s="5"/>
      <c r="S124">
        <f t="shared" si="4"/>
        <v>3.2372881355932202</v>
      </c>
      <c r="T124">
        <f t="shared" si="5"/>
        <v>13.288538463543439</v>
      </c>
    </row>
    <row r="125" spans="1:22" x14ac:dyDescent="0.25">
      <c r="A125" s="5">
        <v>1</v>
      </c>
      <c r="B125" s="5">
        <f>E100</f>
        <v>20</v>
      </c>
      <c r="C125" s="5"/>
      <c r="D125" s="5"/>
      <c r="E125" s="5"/>
      <c r="F125" s="5"/>
      <c r="G125" s="5"/>
      <c r="H125" s="5"/>
      <c r="I125" s="5"/>
      <c r="J125" s="5"/>
      <c r="K125" s="5">
        <f>1+34*4/59</f>
        <v>3.3050847457627119</v>
      </c>
      <c r="L125" s="5">
        <f t="shared" si="3"/>
        <v>14.418695877433205</v>
      </c>
      <c r="M125" s="5">
        <f>L125-$B$23*$B$18*SQRT(1/$B$12+(K125-AVERAGE(Данные!$B$2:$B$75))^2/DEVSQ(Данные!$B$2:$B$75))</f>
        <v>13.192734753279426</v>
      </c>
      <c r="N125" s="5">
        <f>L125+$B$23*$B$18*SQRT(1/$B$12+(K125-AVERAGE(Данные!$B$2:$B$75))^2/DEVSQ(Данные!$B$2:$B$75))</f>
        <v>15.644657001586983</v>
      </c>
      <c r="O125" s="5"/>
      <c r="P125" s="5"/>
      <c r="Q125" s="5"/>
      <c r="S125">
        <f t="shared" si="4"/>
        <v>3.3050847457627119</v>
      </c>
      <c r="T125">
        <f t="shared" si="5"/>
        <v>13.192734753279426</v>
      </c>
    </row>
    <row r="126" spans="1:22" x14ac:dyDescent="0.25">
      <c r="A126" s="5">
        <v>0.87</v>
      </c>
      <c r="B126" s="5">
        <f>E100</f>
        <v>20</v>
      </c>
      <c r="C126" s="5"/>
      <c r="D126" s="5"/>
      <c r="E126" s="5"/>
      <c r="F126" s="5"/>
      <c r="G126" s="5"/>
      <c r="H126" s="5"/>
      <c r="I126" s="5"/>
      <c r="J126" s="5"/>
      <c r="K126" s="5">
        <f>1+35*4/59</f>
        <v>3.3728813559322033</v>
      </c>
      <c r="L126" s="5">
        <f t="shared" si="3"/>
        <v>14.332353532042676</v>
      </c>
      <c r="M126" s="5">
        <f>L126-$B$23*$B$18*SQRT(1/$B$12+(K126-AVERAGE(Данные!$B$2:$B$75))^2/DEVSQ(Данные!$B$2:$B$75))</f>
        <v>13.092351397252511</v>
      </c>
      <c r="N126" s="5">
        <f>L126+$B$23*$B$18*SQRT(1/$B$12+(K126-AVERAGE(Данные!$B$2:$B$75))^2/DEVSQ(Данные!$B$2:$B$75))</f>
        <v>15.572355666832841</v>
      </c>
      <c r="O126" s="5"/>
      <c r="P126" s="5"/>
      <c r="Q126" s="5"/>
      <c r="S126">
        <f t="shared" si="4"/>
        <v>3.3728813559322033</v>
      </c>
      <c r="T126">
        <f t="shared" si="5"/>
        <v>13.092351397252511</v>
      </c>
    </row>
    <row r="127" spans="1:22" x14ac:dyDescent="0.25">
      <c r="A127" s="5">
        <v>1.1299999999999999</v>
      </c>
      <c r="B127" s="5">
        <f>E100</f>
        <v>20</v>
      </c>
      <c r="C127" s="5"/>
      <c r="D127" s="5"/>
      <c r="E127" s="5"/>
      <c r="F127" s="5"/>
      <c r="G127" s="5"/>
      <c r="H127" s="5"/>
      <c r="I127" s="5"/>
      <c r="J127" s="5"/>
      <c r="K127" s="5">
        <f>1+36*4/59</f>
        <v>3.4406779661016951</v>
      </c>
      <c r="L127" s="5">
        <f t="shared" si="3"/>
        <v>14.246011186652147</v>
      </c>
      <c r="M127" s="5">
        <f>L127-$B$23*$B$18*SQRT(1/$B$12+(K127-AVERAGE(Данные!$B$2:$B$75))^2/DEVSQ(Данные!$B$2:$B$75))</f>
        <v>12.987541674358617</v>
      </c>
      <c r="N127" s="5">
        <f>L127+$B$23*$B$18*SQRT(1/$B$12+(K127-AVERAGE(Данные!$B$2:$B$75))^2/DEVSQ(Данные!$B$2:$B$75))</f>
        <v>15.504480698945677</v>
      </c>
      <c r="O127" s="5"/>
      <c r="P127" s="5"/>
      <c r="Q127" s="5"/>
      <c r="S127">
        <f t="shared" si="4"/>
        <v>3.4406779661016951</v>
      </c>
      <c r="T127">
        <f t="shared" si="5"/>
        <v>12.987541674358617</v>
      </c>
    </row>
    <row r="128" spans="1:22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>
        <f>1+37*4/59</f>
        <v>3.5084745762711864</v>
      </c>
      <c r="L128" s="5">
        <f t="shared" si="3"/>
        <v>14.15966884126162</v>
      </c>
      <c r="M128" s="5">
        <f>L128-$B$23*$B$18*SQRT(1/$B$12+(K128-AVERAGE(Данные!$B$2:$B$75))^2/DEVSQ(Данные!$B$2:$B$75))</f>
        <v>12.878496981126981</v>
      </c>
      <c r="N128" s="5">
        <f>L128+$B$23*$B$18*SQRT(1/$B$12+(K128-AVERAGE(Данные!$B$2:$B$75))^2/DEVSQ(Данные!$B$2:$B$75))</f>
        <v>15.44084070139626</v>
      </c>
      <c r="O128" s="5"/>
      <c r="P128" s="5"/>
      <c r="Q128" s="5"/>
      <c r="S128">
        <f t="shared" si="4"/>
        <v>3.5084745762711864</v>
      </c>
      <c r="T128">
        <f t="shared" si="5"/>
        <v>12.878496981126981</v>
      </c>
    </row>
    <row r="129" spans="1:20" x14ac:dyDescent="0.25">
      <c r="A129" s="5">
        <v>1.75</v>
      </c>
      <c r="B129" s="5">
        <f>F93</f>
        <v>16.75</v>
      </c>
      <c r="C129" s="5"/>
      <c r="D129" s="5"/>
      <c r="E129" s="5"/>
      <c r="F129" s="5"/>
      <c r="G129" s="5"/>
      <c r="H129" s="5"/>
      <c r="I129" s="5"/>
      <c r="J129" s="5"/>
      <c r="K129" s="5">
        <f>1+38*4/59</f>
        <v>3.5762711864406778</v>
      </c>
      <c r="L129" s="5">
        <f t="shared" si="3"/>
        <v>14.073326495871092</v>
      </c>
      <c r="M129" s="5">
        <f>L129-$B$23*$B$18*SQRT(1/$B$12+(K129-AVERAGE(Данные!$B$2:$B$75))^2/DEVSQ(Данные!$B$2:$B$75))</f>
        <v>12.765437830972674</v>
      </c>
      <c r="N129" s="5">
        <f>L129+$B$23*$B$18*SQRT(1/$B$12+(K129-AVERAGE(Данные!$B$2:$B$75))^2/DEVSQ(Данные!$B$2:$B$75))</f>
        <v>15.381215160769509</v>
      </c>
      <c r="O129" s="5"/>
      <c r="P129" s="5"/>
      <c r="Q129" s="5"/>
      <c r="S129">
        <f t="shared" si="4"/>
        <v>3.5762711864406778</v>
      </c>
      <c r="T129">
        <f t="shared" si="5"/>
        <v>12.765437830972674</v>
      </c>
    </row>
    <row r="130" spans="1:20" x14ac:dyDescent="0.25">
      <c r="A130" s="5">
        <v>2.25</v>
      </c>
      <c r="B130" s="5">
        <f>F93</f>
        <v>16.75</v>
      </c>
      <c r="C130" s="5"/>
      <c r="D130" s="5"/>
      <c r="E130" s="5"/>
      <c r="F130" s="5"/>
      <c r="G130" s="5"/>
      <c r="H130" s="5"/>
      <c r="I130" s="5"/>
      <c r="J130" s="5"/>
      <c r="K130" s="5">
        <f>1+39*4/59</f>
        <v>3.6440677966101696</v>
      </c>
      <c r="L130" s="5">
        <f t="shared" si="3"/>
        <v>13.986984150480563</v>
      </c>
      <c r="M130" s="5">
        <f>L130-$B$23*$B$18*SQRT(1/$B$12+(K130-AVERAGE(Данные!$B$2:$B$75))^2/DEVSQ(Данные!$B$2:$B$75))</f>
        <v>12.648604612726393</v>
      </c>
      <c r="N130" s="5">
        <f>L130+$B$23*$B$18*SQRT(1/$B$12+(K130-AVERAGE(Данные!$B$2:$B$75))^2/DEVSQ(Данные!$B$2:$B$75))</f>
        <v>15.325363688234733</v>
      </c>
      <c r="O130" s="5"/>
      <c r="P130" s="5"/>
      <c r="Q130" s="5"/>
      <c r="S130">
        <f t="shared" si="4"/>
        <v>3.6440677966101696</v>
      </c>
      <c r="T130">
        <f t="shared" si="5"/>
        <v>12.648604612726393</v>
      </c>
    </row>
    <row r="131" spans="1:20" x14ac:dyDescent="0.25">
      <c r="A131" s="5">
        <v>2.25</v>
      </c>
      <c r="B131" s="5">
        <f>F95</f>
        <v>21.5</v>
      </c>
      <c r="C131" s="5"/>
      <c r="D131" s="5"/>
      <c r="E131" s="5"/>
      <c r="F131" s="5"/>
      <c r="G131" s="5"/>
      <c r="H131" s="5"/>
      <c r="I131" s="5"/>
      <c r="J131" s="5"/>
      <c r="K131" s="5">
        <f>1+40*4/59</f>
        <v>3.7118644067796609</v>
      </c>
      <c r="L131" s="5">
        <f t="shared" si="3"/>
        <v>13.900641805090036</v>
      </c>
      <c r="M131" s="5">
        <f>L131-$B$23*$B$18*SQRT(1/$B$12+(K131-AVERAGE(Данные!$B$2:$B$75))^2/DEVSQ(Данные!$B$2:$B$75))</f>
        <v>12.528248852204914</v>
      </c>
      <c r="N131" s="5">
        <f>L131+$B$23*$B$18*SQRT(1/$B$12+(K131-AVERAGE(Данные!$B$2:$B$75))^2/DEVSQ(Данные!$B$2:$B$75))</f>
        <v>15.273034757975157</v>
      </c>
      <c r="O131" s="5"/>
      <c r="P131" s="5"/>
      <c r="Q131" s="5"/>
      <c r="S131">
        <f t="shared" si="4"/>
        <v>3.7118644067796609</v>
      </c>
      <c r="T131">
        <f t="shared" si="5"/>
        <v>12.528248852204914</v>
      </c>
    </row>
    <row r="132" spans="1:20" x14ac:dyDescent="0.25">
      <c r="A132" s="5">
        <v>1.75</v>
      </c>
      <c r="B132" s="5">
        <f>F95</f>
        <v>21.5</v>
      </c>
      <c r="C132" s="5"/>
      <c r="D132" s="5"/>
      <c r="E132" s="5"/>
      <c r="F132" s="5"/>
      <c r="G132" s="5"/>
      <c r="H132" s="5"/>
      <c r="I132" s="5"/>
      <c r="J132" s="5"/>
      <c r="K132" s="5">
        <f>1+41*4/59</f>
        <v>3.7796610169491527</v>
      </c>
      <c r="L132" s="5">
        <f t="shared" si="3"/>
        <v>13.814299459699505</v>
      </c>
      <c r="M132" s="5">
        <f>L132-$B$23*$B$18*SQRT(1/$B$12+(K132-AVERAGE(Данные!$B$2:$B$75))^2/DEVSQ(Данные!$B$2:$B$75))</f>
        <v>12.404625508064303</v>
      </c>
      <c r="N132" s="5">
        <f>L132+$B$23*$B$18*SQRT(1/$B$12+(K132-AVERAGE(Данные!$B$2:$B$75))^2/DEVSQ(Данные!$B$2:$B$75))</f>
        <v>15.223973411334708</v>
      </c>
      <c r="O132" s="5"/>
      <c r="P132" s="5"/>
      <c r="Q132" s="5"/>
      <c r="S132">
        <f t="shared" si="4"/>
        <v>3.7796610169491527</v>
      </c>
      <c r="T132">
        <f t="shared" si="5"/>
        <v>12.404625508064303</v>
      </c>
    </row>
    <row r="133" spans="1:20" x14ac:dyDescent="0.25">
      <c r="A133" s="5">
        <v>1.75</v>
      </c>
      <c r="B133" s="5">
        <f>F93</f>
        <v>16.75</v>
      </c>
      <c r="C133" s="5"/>
      <c r="D133" s="5"/>
      <c r="E133" s="5"/>
      <c r="F133" s="5"/>
      <c r="G133" s="5"/>
      <c r="H133" s="5"/>
      <c r="I133" s="5"/>
      <c r="J133" s="5"/>
      <c r="K133" s="5">
        <f>1+42*4/59</f>
        <v>3.847457627118644</v>
      </c>
      <c r="L133" s="5">
        <f t="shared" si="3"/>
        <v>13.727957114308978</v>
      </c>
      <c r="M133" s="5">
        <f>L133-$B$23*$B$18*SQRT(1/$B$12+(K133-AVERAGE(Данные!$B$2:$B$75))^2/DEVSQ(Данные!$B$2:$B$75))</f>
        <v>12.277986602384944</v>
      </c>
      <c r="N133" s="5">
        <f>L133+$B$23*$B$18*SQRT(1/$B$12+(K133-AVERAGE(Данные!$B$2:$B$75))^2/DEVSQ(Данные!$B$2:$B$75))</f>
        <v>15.177927626233013</v>
      </c>
      <c r="O133" s="5"/>
      <c r="P133" s="5"/>
      <c r="Q133" s="5"/>
      <c r="S133">
        <f t="shared" si="4"/>
        <v>3.847457627118644</v>
      </c>
      <c r="T133">
        <f t="shared" si="5"/>
        <v>12.277986602384944</v>
      </c>
    </row>
    <row r="134" spans="1:20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>
        <f>1+43*4/59</f>
        <v>3.9152542372881354</v>
      </c>
      <c r="L134" s="5">
        <f t="shared" si="3"/>
        <v>13.641614768918449</v>
      </c>
      <c r="M134" s="5">
        <f>L134-$B$23*$B$18*SQRT(1/$B$12+(K134-AVERAGE(Данные!$B$2:$B$75))^2/DEVSQ(Данные!$B$2:$B$75))</f>
        <v>12.14857628189942</v>
      </c>
      <c r="N134" s="5">
        <f>L134+$B$23*$B$18*SQRT(1/$B$12+(K134-AVERAGE(Данные!$B$2:$B$75))^2/DEVSQ(Данные!$B$2:$B$75))</f>
        <v>15.134653255937479</v>
      </c>
      <c r="O134" s="5"/>
      <c r="P134" s="5"/>
      <c r="Q134" s="5"/>
      <c r="S134">
        <f t="shared" si="4"/>
        <v>3.9152542372881354</v>
      </c>
      <c r="T134">
        <f t="shared" si="5"/>
        <v>12.14857628189942</v>
      </c>
    </row>
    <row r="135" spans="1:20" x14ac:dyDescent="0.25">
      <c r="A135" s="5">
        <v>1.75</v>
      </c>
      <c r="B135" s="5">
        <f>F94</f>
        <v>18.5</v>
      </c>
      <c r="C135" s="5"/>
      <c r="D135" s="5"/>
      <c r="E135" s="5"/>
      <c r="F135" s="5"/>
      <c r="G135" s="5"/>
      <c r="H135" s="5"/>
      <c r="I135" s="5"/>
      <c r="J135" s="5"/>
      <c r="K135" s="5">
        <f>1+44*4/59</f>
        <v>3.9830508474576272</v>
      </c>
      <c r="L135" s="5">
        <f t="shared" si="3"/>
        <v>13.555272423527921</v>
      </c>
      <c r="M135" s="5">
        <f>L135-$B$23*$B$18*SQRT(1/$B$12+(K135-AVERAGE(Данные!$B$2:$B$75))^2/DEVSQ(Данные!$B$2:$B$75))</f>
        <v>12.016627251718878</v>
      </c>
      <c r="N135" s="5">
        <f>L135+$B$23*$B$18*SQRT(1/$B$12+(K135-AVERAGE(Данные!$B$2:$B$75))^2/DEVSQ(Данные!$B$2:$B$75))</f>
        <v>15.093917595336963</v>
      </c>
      <c r="O135" s="5"/>
      <c r="P135" s="5"/>
      <c r="Q135" s="5"/>
      <c r="S135">
        <f t="shared" si="4"/>
        <v>3.9830508474576272</v>
      </c>
      <c r="T135">
        <f t="shared" si="5"/>
        <v>12.016627251718878</v>
      </c>
    </row>
    <row r="136" spans="1:20" x14ac:dyDescent="0.25">
      <c r="A136" s="5">
        <v>2.25</v>
      </c>
      <c r="B136" s="5">
        <f>F94</f>
        <v>18.5</v>
      </c>
      <c r="C136" s="5"/>
      <c r="D136" s="5"/>
      <c r="E136" s="5"/>
      <c r="F136" s="5"/>
      <c r="G136" s="5"/>
      <c r="H136" s="5"/>
      <c r="I136" s="5"/>
      <c r="J136" s="5"/>
      <c r="K136" s="5">
        <f>1+45*4/59</f>
        <v>4.0508474576271185</v>
      </c>
      <c r="L136" s="5">
        <f t="shared" si="3"/>
        <v>13.468930078137394</v>
      </c>
      <c r="M136" s="5">
        <f>L136-$B$23*$B$18*SQRT(1/$B$12+(K136-AVERAGE(Данные!$B$2:$B$75))^2/DEVSQ(Данные!$B$2:$B$75))</f>
        <v>11.882358425648018</v>
      </c>
      <c r="N136" s="5">
        <f>L136+$B$23*$B$18*SQRT(1/$B$12+(K136-AVERAGE(Данные!$B$2:$B$75))^2/DEVSQ(Данные!$B$2:$B$75))</f>
        <v>15.055501730626769</v>
      </c>
      <c r="O136" s="5"/>
      <c r="P136" s="5"/>
      <c r="Q136" s="5"/>
      <c r="S136">
        <f t="shared" si="4"/>
        <v>4.0508474576271185</v>
      </c>
      <c r="T136">
        <f t="shared" si="5"/>
        <v>11.882358425648018</v>
      </c>
    </row>
    <row r="137" spans="1:20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>
        <f>1+46*4/59</f>
        <v>4.1186440677966107</v>
      </c>
      <c r="L137" s="5">
        <f t="shared" si="3"/>
        <v>13.382587732746863</v>
      </c>
      <c r="M137" s="5">
        <f>L137-$B$23*$B$18*SQRT(1/$B$12+(K137-AVERAGE(Данные!$B$2:$B$75))^2/DEVSQ(Данные!$B$2:$B$75))</f>
        <v>11.745973589164192</v>
      </c>
      <c r="N137" s="5">
        <f>L137+$B$23*$B$18*SQRT(1/$B$12+(K137-AVERAGE(Данные!$B$2:$B$75))^2/DEVSQ(Данные!$B$2:$B$75))</f>
        <v>15.019201876329534</v>
      </c>
      <c r="O137" s="5"/>
      <c r="P137" s="5"/>
      <c r="Q137" s="5"/>
      <c r="S137">
        <f t="shared" si="4"/>
        <v>4.1186440677966107</v>
      </c>
      <c r="T137">
        <f t="shared" si="5"/>
        <v>11.745973589164192</v>
      </c>
    </row>
    <row r="138" spans="1:20" x14ac:dyDescent="0.25">
      <c r="A138" s="5">
        <v>1.87</v>
      </c>
      <c r="B138" s="5">
        <f>F99</f>
        <v>12</v>
      </c>
      <c r="C138" s="5"/>
      <c r="D138" s="5"/>
      <c r="E138" s="5"/>
      <c r="F138" s="5"/>
      <c r="G138" s="5"/>
      <c r="H138" s="5"/>
      <c r="I138" s="5"/>
      <c r="J138" s="5"/>
      <c r="K138" s="5">
        <f>1+47*4/59</f>
        <v>4.1864406779661021</v>
      </c>
      <c r="L138" s="5">
        <f t="shared" si="3"/>
        <v>13.296245387356336</v>
      </c>
      <c r="M138" s="5">
        <f>L138-$B$23*$B$18*SQRT(1/$B$12+(K138-AVERAGE(Данные!$B$2:$B$75))^2/DEVSQ(Данные!$B$2:$B$75))</f>
        <v>11.607660860538921</v>
      </c>
      <c r="N138" s="5">
        <f>L138+$B$23*$B$18*SQRT(1/$B$12+(K138-AVERAGE(Данные!$B$2:$B$75))^2/DEVSQ(Данные!$B$2:$B$75))</f>
        <v>14.984829914173751</v>
      </c>
      <c r="O138" s="5"/>
      <c r="P138" s="5"/>
      <c r="Q138" s="5"/>
      <c r="S138">
        <f t="shared" si="4"/>
        <v>4.1864406779661021</v>
      </c>
      <c r="T138">
        <f t="shared" si="5"/>
        <v>11.607660860538921</v>
      </c>
    </row>
    <row r="139" spans="1:20" x14ac:dyDescent="0.25">
      <c r="A139" s="5">
        <v>2.13</v>
      </c>
      <c r="B139" s="5">
        <f>F99</f>
        <v>12</v>
      </c>
      <c r="C139" s="5"/>
      <c r="D139" s="5"/>
      <c r="E139" s="5"/>
      <c r="F139" s="5"/>
      <c r="G139" s="5"/>
      <c r="H139" s="5"/>
      <c r="I139" s="5"/>
      <c r="J139" s="5"/>
      <c r="K139" s="5">
        <f>1+48*4/59</f>
        <v>4.2542372881355934</v>
      </c>
      <c r="L139" s="5">
        <f t="shared" si="3"/>
        <v>13.209903041965807</v>
      </c>
      <c r="M139" s="5">
        <f>L139-$B$23*$B$18*SQRT(1/$B$12+(K139-AVERAGE(Данные!$B$2:$B$75))^2/DEVSQ(Данные!$B$2:$B$75))</f>
        <v>11.467592749228052</v>
      </c>
      <c r="N139" s="5">
        <f>L139+$B$23*$B$18*SQRT(1/$B$12+(K139-AVERAGE(Данные!$B$2:$B$75))^2/DEVSQ(Данные!$B$2:$B$75))</f>
        <v>14.952213334703563</v>
      </c>
      <c r="O139" s="5"/>
      <c r="P139" s="5"/>
      <c r="Q139" s="5"/>
      <c r="S139">
        <f t="shared" si="4"/>
        <v>4.2542372881355934</v>
      </c>
      <c r="T139">
        <f t="shared" si="5"/>
        <v>11.467592749228052</v>
      </c>
    </row>
    <row r="140" spans="1:20" x14ac:dyDescent="0.25">
      <c r="A140" s="5">
        <v>2</v>
      </c>
      <c r="B140" s="5">
        <f>F99</f>
        <v>12</v>
      </c>
      <c r="C140" s="5"/>
      <c r="D140" s="5"/>
      <c r="E140" s="5"/>
      <c r="F140" s="5"/>
      <c r="G140" s="5"/>
      <c r="H140" s="5"/>
      <c r="I140" s="5"/>
      <c r="J140" s="5"/>
      <c r="K140" s="5">
        <f>1+49*4/59</f>
        <v>4.3220338983050848</v>
      </c>
      <c r="L140" s="5">
        <f t="shared" si="3"/>
        <v>13.123560696575279</v>
      </c>
      <c r="M140" s="5">
        <f>L140-$B$23*$B$18*SQRT(1/$B$12+(K140-AVERAGE(Данные!$B$2:$B$75))^2/DEVSQ(Данные!$B$2:$B$75))</f>
        <v>11.325926637348251</v>
      </c>
      <c r="N140" s="5">
        <f>L140+$B$23*$B$18*SQRT(1/$B$12+(K140-AVERAGE(Данные!$B$2:$B$75))^2/DEVSQ(Данные!$B$2:$B$75))</f>
        <v>14.921194755802306</v>
      </c>
      <c r="O140" s="5"/>
      <c r="P140" s="5"/>
      <c r="Q140" s="5"/>
      <c r="S140">
        <f t="shared" si="4"/>
        <v>4.3220338983050848</v>
      </c>
      <c r="T140">
        <f t="shared" si="5"/>
        <v>11.325926637348251</v>
      </c>
    </row>
    <row r="141" spans="1:20" x14ac:dyDescent="0.25">
      <c r="A141" s="5">
        <v>2</v>
      </c>
      <c r="B141" s="5">
        <f>F93</f>
        <v>16.75</v>
      </c>
      <c r="C141" s="5"/>
      <c r="D141" s="5"/>
      <c r="E141" s="5"/>
      <c r="F141" s="5"/>
      <c r="G141" s="5"/>
      <c r="H141" s="5"/>
      <c r="I141" s="5"/>
      <c r="J141" s="5"/>
      <c r="K141" s="5">
        <f>1+50*4/59</f>
        <v>4.3898305084745761</v>
      </c>
      <c r="L141" s="5">
        <f t="shared" si="3"/>
        <v>13.037218351184752</v>
      </c>
      <c r="M141" s="5">
        <f>L141-$B$23*$B$18*SQRT(1/$B$12+(K141-AVERAGE(Данные!$B$2:$B$75))^2/DEVSQ(Данные!$B$2:$B$75))</f>
        <v>11.182805541601477</v>
      </c>
      <c r="N141" s="5">
        <f>L141+$B$23*$B$18*SQRT(1/$B$12+(K141-AVERAGE(Данные!$B$2:$B$75))^2/DEVSQ(Данные!$B$2:$B$75))</f>
        <v>14.891631160768027</v>
      </c>
      <c r="O141" s="5"/>
      <c r="P141" s="5"/>
      <c r="Q141" s="5"/>
      <c r="S141">
        <f t="shared" si="4"/>
        <v>4.3898305084745761</v>
      </c>
      <c r="T141">
        <f t="shared" si="5"/>
        <v>11.182805541601477</v>
      </c>
    </row>
    <row r="142" spans="1:20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>
        <f>1+51*4/59</f>
        <v>4.4576271186440675</v>
      </c>
      <c r="L142" s="5">
        <f t="shared" si="3"/>
        <v>12.950876005794223</v>
      </c>
      <c r="M142" s="5">
        <f>L142-$B$23*$B$18*SQRT(1/$B$12+(K142-AVERAGE(Данные!$B$2:$B$75))^2/DEVSQ(Данные!$B$2:$B$75))</f>
        <v>11.038359044159524</v>
      </c>
      <c r="N142" s="5">
        <f>L142+$B$23*$B$18*SQRT(1/$B$12+(K142-AVERAGE(Данные!$B$2:$B$75))^2/DEVSQ(Данные!$B$2:$B$75))</f>
        <v>14.863392967428922</v>
      </c>
      <c r="O142" s="5"/>
      <c r="P142" s="5"/>
      <c r="Q142" s="5"/>
      <c r="S142">
        <f t="shared" si="4"/>
        <v>4.4576271186440675</v>
      </c>
      <c r="T142">
        <f t="shared" si="5"/>
        <v>11.038359044159524</v>
      </c>
    </row>
    <row r="143" spans="1:20" x14ac:dyDescent="0.25">
      <c r="A143" s="5">
        <v>2</v>
      </c>
      <c r="B143" s="5">
        <f>F95</f>
        <v>21.5</v>
      </c>
      <c r="C143" s="5"/>
      <c r="D143" s="5"/>
      <c r="E143" s="5"/>
      <c r="F143" s="5"/>
      <c r="G143" s="5"/>
      <c r="H143" s="5"/>
      <c r="I143" s="5"/>
      <c r="J143" s="5"/>
      <c r="K143" s="5">
        <f>1+52*4/59</f>
        <v>4.5254237288135588</v>
      </c>
      <c r="L143" s="5">
        <f t="shared" si="3"/>
        <v>12.864533660403694</v>
      </c>
      <c r="M143" s="5">
        <f>L143-$B$23*$B$18*SQRT(1/$B$12+(K143-AVERAGE(Данные!$B$2:$B$75))^2/DEVSQ(Данные!$B$2:$B$75))</f>
        <v>10.892704308894118</v>
      </c>
      <c r="N143" s="5">
        <f>L143+$B$23*$B$18*SQRT(1/$B$12+(K143-AVERAGE(Данные!$B$2:$B$75))^2/DEVSQ(Данные!$B$2:$B$75))</f>
        <v>14.836363011913271</v>
      </c>
      <c r="O143" s="5"/>
      <c r="P143" s="5"/>
      <c r="Q143" s="5"/>
      <c r="S143">
        <f t="shared" si="4"/>
        <v>4.5254237288135588</v>
      </c>
      <c r="T143">
        <f t="shared" si="5"/>
        <v>10.892704308894118</v>
      </c>
    </row>
    <row r="144" spans="1:20" x14ac:dyDescent="0.25">
      <c r="A144" s="5">
        <v>2</v>
      </c>
      <c r="B144" s="5">
        <f>F100</f>
        <v>27</v>
      </c>
      <c r="C144" s="5"/>
      <c r="D144" s="5"/>
      <c r="E144" s="5"/>
      <c r="F144" s="5"/>
      <c r="G144" s="5"/>
      <c r="H144" s="5"/>
      <c r="I144" s="5"/>
      <c r="J144" s="5"/>
      <c r="K144" s="5">
        <f>1+53*4/59</f>
        <v>4.593220338983051</v>
      </c>
      <c r="L144" s="5">
        <f t="shared" si="3"/>
        <v>12.778191315013165</v>
      </c>
      <c r="M144" s="5">
        <f>L144-$B$23*$B$18*SQRT(1/$B$12+(K144-AVERAGE(Данные!$B$2:$B$75))^2/DEVSQ(Данные!$B$2:$B$75))</f>
        <v>10.745947122710152</v>
      </c>
      <c r="N144" s="5">
        <f>L144+$B$23*$B$18*SQRT(1/$B$12+(K144-AVERAGE(Данные!$B$2:$B$75))^2/DEVSQ(Данные!$B$2:$B$75))</f>
        <v>14.810435507316178</v>
      </c>
      <c r="O144" s="5"/>
      <c r="P144" s="5"/>
      <c r="Q144" s="5"/>
      <c r="S144">
        <f t="shared" si="4"/>
        <v>4.593220338983051</v>
      </c>
      <c r="T144">
        <f t="shared" si="5"/>
        <v>10.745947122710152</v>
      </c>
    </row>
    <row r="145" spans="1:20" x14ac:dyDescent="0.25">
      <c r="A145" s="5">
        <v>1.87</v>
      </c>
      <c r="B145" s="5">
        <f>F100</f>
        <v>27</v>
      </c>
      <c r="C145" s="5"/>
      <c r="D145" s="5"/>
      <c r="E145" s="5"/>
      <c r="F145" s="5"/>
      <c r="G145" s="5"/>
      <c r="H145" s="5"/>
      <c r="I145" s="5"/>
      <c r="J145" s="5"/>
      <c r="K145" s="5">
        <f>1+54*4/59</f>
        <v>4.6610169491525424</v>
      </c>
      <c r="L145" s="5">
        <f t="shared" si="3"/>
        <v>12.691848969622637</v>
      </c>
      <c r="M145" s="5">
        <f>L145-$B$23*$B$18*SQRT(1/$B$12+(K145-AVERAGE(Данные!$B$2:$B$75))^2/DEVSQ(Данные!$B$2:$B$75))</f>
        <v>10.598182920424639</v>
      </c>
      <c r="N145" s="5">
        <f>L145+$B$23*$B$18*SQRT(1/$B$12+(K145-AVERAGE(Данные!$B$2:$B$75))^2/DEVSQ(Данные!$B$2:$B$75))</f>
        <v>14.785515018820634</v>
      </c>
      <c r="O145" s="5"/>
      <c r="P145" s="5"/>
      <c r="Q145" s="5"/>
      <c r="S145">
        <f t="shared" si="4"/>
        <v>4.6610169491525424</v>
      </c>
      <c r="T145">
        <f t="shared" si="5"/>
        <v>10.598182920424639</v>
      </c>
    </row>
    <row r="146" spans="1:20" x14ac:dyDescent="0.25">
      <c r="A146" s="5">
        <v>2.13</v>
      </c>
      <c r="B146" s="5">
        <f>F100</f>
        <v>27</v>
      </c>
      <c r="C146" s="5"/>
      <c r="D146" s="5"/>
      <c r="E146" s="5"/>
      <c r="F146" s="5"/>
      <c r="G146" s="5"/>
      <c r="H146" s="5"/>
      <c r="I146" s="5"/>
      <c r="J146" s="5"/>
      <c r="K146" s="5">
        <f>1+55*4/59</f>
        <v>4.7288135593220337</v>
      </c>
      <c r="L146" s="5">
        <f t="shared" si="3"/>
        <v>12.60550662423211</v>
      </c>
      <c r="M146" s="5">
        <f>L146-$B$23*$B$18*SQRT(1/$B$12+(K146-AVERAGE(Данные!$B$2:$B$75))^2/DEVSQ(Данные!$B$2:$B$75))</f>
        <v>10.449497766012886</v>
      </c>
      <c r="N146" s="5">
        <f>L146+$B$23*$B$18*SQRT(1/$B$12+(K146-AVERAGE(Данные!$B$2:$B$75))^2/DEVSQ(Данные!$B$2:$B$75))</f>
        <v>14.761515482451333</v>
      </c>
      <c r="O146" s="5"/>
      <c r="P146" s="5"/>
      <c r="Q146" s="5"/>
      <c r="S146">
        <f t="shared" si="4"/>
        <v>4.7288135593220337</v>
      </c>
      <c r="T146">
        <f t="shared" si="5"/>
        <v>10.449497766012886</v>
      </c>
    </row>
    <row r="147" spans="1:20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>
        <f>1+56*4/59</f>
        <v>4.796610169491526</v>
      </c>
      <c r="L147" s="5">
        <f t="shared" si="3"/>
        <v>12.519164278841579</v>
      </c>
      <c r="M147" s="5">
        <f>L147-$B$23*$B$18*SQRT(1/$B$12+(K147-AVERAGE(Данные!$B$2:$B$75))^2/DEVSQ(Данные!$B$2:$B$75))</f>
        <v>10.299969273751772</v>
      </c>
      <c r="N147" s="5">
        <f>L147+$B$23*$B$18*SQRT(1/$B$12+(K147-AVERAGE(Данные!$B$2:$B$75))^2/DEVSQ(Данные!$B$2:$B$75))</f>
        <v>14.738359283931386</v>
      </c>
      <c r="O147" s="5"/>
      <c r="P147" s="5"/>
      <c r="Q147" s="5"/>
      <c r="S147">
        <f t="shared" si="4"/>
        <v>4.796610169491526</v>
      </c>
      <c r="T147">
        <f t="shared" si="5"/>
        <v>10.299969273751772</v>
      </c>
    </row>
    <row r="148" spans="1:20" x14ac:dyDescent="0.25">
      <c r="A148" s="5">
        <v>2.75</v>
      </c>
      <c r="B148" s="5">
        <f>G93</f>
        <v>10</v>
      </c>
      <c r="C148" s="5"/>
      <c r="D148" s="5"/>
      <c r="E148" s="5"/>
      <c r="F148" s="5"/>
      <c r="G148" s="5"/>
      <c r="H148" s="5"/>
      <c r="I148" s="5"/>
      <c r="J148" s="5"/>
      <c r="K148" s="5">
        <f>1+57*4/59</f>
        <v>4.8644067796610173</v>
      </c>
      <c r="L148" s="5">
        <f t="shared" si="3"/>
        <v>12.432821933451052</v>
      </c>
      <c r="M148" s="5">
        <f>L148-$B$23*$B$18*SQRT(1/$B$12+(K148-AVERAGE(Данные!$B$2:$B$75))^2/DEVSQ(Данные!$B$2:$B$75))</f>
        <v>10.149667460522924</v>
      </c>
      <c r="N148" s="5">
        <f>L148+$B$23*$B$18*SQRT(1/$B$12+(K148-AVERAGE(Данные!$B$2:$B$75))^2/DEVSQ(Данные!$B$2:$B$75))</f>
        <v>14.71597640637918</v>
      </c>
      <c r="O148" s="5"/>
      <c r="P148" s="5"/>
      <c r="Q148" s="5"/>
      <c r="S148">
        <f t="shared" si="4"/>
        <v>4.8644067796610173</v>
      </c>
      <c r="T148">
        <f t="shared" si="5"/>
        <v>10.149667460522924</v>
      </c>
    </row>
    <row r="149" spans="1:20" x14ac:dyDescent="0.25">
      <c r="A149" s="5">
        <v>3.25</v>
      </c>
      <c r="B149" s="5">
        <f>G93</f>
        <v>10</v>
      </c>
      <c r="C149" s="5"/>
      <c r="D149" s="5"/>
      <c r="E149" s="5"/>
      <c r="F149" s="5"/>
      <c r="G149" s="5"/>
      <c r="H149" s="5"/>
      <c r="I149" s="5"/>
      <c r="J149" s="5"/>
      <c r="K149" s="5">
        <f>1+58*4/59</f>
        <v>4.9322033898305087</v>
      </c>
      <c r="L149" s="5">
        <f t="shared" si="3"/>
        <v>12.346479588060525</v>
      </c>
      <c r="M149" s="5">
        <f>L149-$B$23*$B$18*SQRT(1/$B$12+(K149-AVERAGE(Данные!$B$2:$B$75))^2/DEVSQ(Данные!$B$2:$B$75))</f>
        <v>9.9986555259493386</v>
      </c>
      <c r="N149" s="5">
        <f>L149+$B$23*$B$18*SQRT(1/$B$12+(K149-AVERAGE(Данные!$B$2:$B$75))^2/DEVSQ(Данные!$B$2:$B$75))</f>
        <v>14.694303650171712</v>
      </c>
      <c r="O149" s="5"/>
      <c r="P149" s="5"/>
      <c r="Q149" s="5"/>
      <c r="S149">
        <f t="shared" si="4"/>
        <v>4.9322033898305087</v>
      </c>
      <c r="T149">
        <f t="shared" si="5"/>
        <v>9.9986555259493386</v>
      </c>
    </row>
    <row r="150" spans="1:20" x14ac:dyDescent="0.25">
      <c r="A150" s="5">
        <v>3.25</v>
      </c>
      <c r="B150" s="5">
        <f>G95</f>
        <v>16</v>
      </c>
      <c r="C150" s="5"/>
      <c r="D150" s="5"/>
      <c r="E150" s="5"/>
      <c r="F150" s="5"/>
      <c r="G150" s="5"/>
      <c r="H150" s="5"/>
      <c r="I150" s="5"/>
      <c r="J150" s="5"/>
      <c r="K150" s="5">
        <f>1+59*4/59</f>
        <v>5</v>
      </c>
      <c r="L150" s="5">
        <f t="shared" si="3"/>
        <v>12.260137242669996</v>
      </c>
      <c r="M150" s="5">
        <f>L150-$B$23*$B$18*SQRT(1/$B$12+(K150-AVERAGE(Данные!$B$2:$B$75))^2/DEVSQ(Данные!$B$2:$B$75))</f>
        <v>9.8469905606912143</v>
      </c>
      <c r="N150" s="5">
        <f>L150+$B$23*$B$18*SQRT(1/$B$12+(K150-AVERAGE(Данные!$B$2:$B$75))^2/DEVSQ(Данные!$B$2:$B$75))</f>
        <v>14.673283924648779</v>
      </c>
      <c r="O150" s="5"/>
      <c r="P150" s="5"/>
      <c r="Q150" s="5"/>
      <c r="S150">
        <f t="shared" si="4"/>
        <v>5</v>
      </c>
      <c r="T150">
        <f t="shared" si="5"/>
        <v>9.8469905606912143</v>
      </c>
    </row>
    <row r="151" spans="1:20" x14ac:dyDescent="0.25">
      <c r="A151" s="5">
        <v>2.75</v>
      </c>
      <c r="B151" s="5">
        <f>G95</f>
        <v>16</v>
      </c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20" x14ac:dyDescent="0.25">
      <c r="A152" s="5">
        <v>2.75</v>
      </c>
      <c r="B152" s="5">
        <f>G93</f>
        <v>10</v>
      </c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S152">
        <f t="shared" ref="S152:S183" si="6">K91</f>
        <v>1</v>
      </c>
      <c r="T152">
        <f t="shared" ref="T152:T183" si="7">N91</f>
        <v>20.033426390476059</v>
      </c>
    </row>
    <row r="153" spans="1:20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S153">
        <f t="shared" si="6"/>
        <v>1.0677966101694916</v>
      </c>
      <c r="T153">
        <f t="shared" si="7"/>
        <v>19.879625231744484</v>
      </c>
    </row>
    <row r="154" spans="1:20" x14ac:dyDescent="0.25">
      <c r="A154" s="5">
        <v>2.75</v>
      </c>
      <c r="B154" s="5">
        <f>G94</f>
        <v>14</v>
      </c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S154">
        <f t="shared" si="6"/>
        <v>1.1355932203389831</v>
      </c>
      <c r="T154">
        <f t="shared" si="7"/>
        <v>19.72629848936332</v>
      </c>
    </row>
    <row r="155" spans="1:20" x14ac:dyDescent="0.25">
      <c r="A155" s="5">
        <v>3.25</v>
      </c>
      <c r="B155" s="5">
        <f>G94</f>
        <v>14</v>
      </c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 t="s">
        <v>69</v>
      </c>
      <c r="P155" s="5" t="s">
        <v>70</v>
      </c>
      <c r="Q155" s="5" t="s">
        <v>71</v>
      </c>
      <c r="S155">
        <f t="shared" si="6"/>
        <v>1.2033898305084745</v>
      </c>
      <c r="T155">
        <f t="shared" si="7"/>
        <v>19.573484633650086</v>
      </c>
    </row>
    <row r="156" spans="1:20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>
        <v>0</v>
      </c>
      <c r="P156" s="5">
        <v>10</v>
      </c>
      <c r="Q156" s="5">
        <v>5</v>
      </c>
      <c r="S156">
        <f t="shared" si="6"/>
        <v>1.271186440677966</v>
      </c>
      <c r="T156">
        <f t="shared" si="7"/>
        <v>19.421226063832307</v>
      </c>
    </row>
    <row r="157" spans="1:20" x14ac:dyDescent="0.25">
      <c r="A157" s="5">
        <v>2.87</v>
      </c>
      <c r="B157" s="5">
        <f>G99</f>
        <v>5</v>
      </c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>
        <f t="shared" ref="O157:O190" si="8">IF(TDIST(Q156,$B$20,2)&gt;0.05,Q156,O156)</f>
        <v>0</v>
      </c>
      <c r="P157" s="5">
        <f t="shared" ref="P157:P190" si="9">IF(TDIST(Q156,$B$20,2)&gt;0.05,P156,Q156)</f>
        <v>5</v>
      </c>
      <c r="Q157" s="5">
        <f t="shared" ref="Q157:Q190" si="10">(O157+P157)/2</f>
        <v>2.5</v>
      </c>
      <c r="S157">
        <f t="shared" si="6"/>
        <v>1.3389830508474576</v>
      </c>
      <c r="T157">
        <f t="shared" si="7"/>
        <v>19.269569567590196</v>
      </c>
    </row>
    <row r="158" spans="1:20" x14ac:dyDescent="0.25">
      <c r="A158" s="5">
        <v>3.13</v>
      </c>
      <c r="B158" s="5">
        <f>G99</f>
        <v>5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>
        <f t="shared" si="8"/>
        <v>0</v>
      </c>
      <c r="P158" s="5">
        <f t="shared" si="9"/>
        <v>2.5</v>
      </c>
      <c r="Q158" s="5">
        <f t="shared" si="10"/>
        <v>1.25</v>
      </c>
      <c r="S158">
        <f t="shared" si="6"/>
        <v>1.4067796610169492</v>
      </c>
      <c r="T158">
        <f t="shared" si="7"/>
        <v>19.118566835704769</v>
      </c>
    </row>
    <row r="159" spans="1:20" x14ac:dyDescent="0.25">
      <c r="A159" s="5">
        <v>3</v>
      </c>
      <c r="B159" s="5">
        <f>G99</f>
        <v>5</v>
      </c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>
        <f t="shared" si="8"/>
        <v>1.25</v>
      </c>
      <c r="P159" s="5">
        <f t="shared" si="9"/>
        <v>2.5</v>
      </c>
      <c r="Q159" s="5">
        <f t="shared" si="10"/>
        <v>1.875</v>
      </c>
      <c r="S159">
        <f t="shared" si="6"/>
        <v>1.4745762711864407</v>
      </c>
      <c r="T159">
        <f t="shared" si="7"/>
        <v>18.968275036978028</v>
      </c>
    </row>
    <row r="160" spans="1:20" x14ac:dyDescent="0.25">
      <c r="A160" s="5">
        <v>3</v>
      </c>
      <c r="B160" s="5">
        <f>G93</f>
        <v>10</v>
      </c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>
        <f t="shared" si="8"/>
        <v>1.875</v>
      </c>
      <c r="P160" s="5">
        <f t="shared" si="9"/>
        <v>2.5</v>
      </c>
      <c r="Q160" s="5">
        <f t="shared" si="10"/>
        <v>2.1875</v>
      </c>
      <c r="S160">
        <f t="shared" si="6"/>
        <v>1.5423728813559321</v>
      </c>
      <c r="T160">
        <f t="shared" si="7"/>
        <v>18.818757458277393</v>
      </c>
    </row>
    <row r="161" spans="1:20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>
        <f t="shared" si="8"/>
        <v>1.875</v>
      </c>
      <c r="P161" s="5">
        <f t="shared" si="9"/>
        <v>2.1875</v>
      </c>
      <c r="Q161" s="5">
        <f t="shared" si="10"/>
        <v>2.03125</v>
      </c>
      <c r="S161">
        <f t="shared" si="6"/>
        <v>1.6101694915254239</v>
      </c>
      <c r="T161">
        <f t="shared" si="7"/>
        <v>18.670084213788556</v>
      </c>
    </row>
    <row r="162" spans="1:20" x14ac:dyDescent="0.25">
      <c r="A162" s="5">
        <v>3</v>
      </c>
      <c r="B162" s="5">
        <f>G95</f>
        <v>16</v>
      </c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>
        <f t="shared" si="8"/>
        <v>1.875</v>
      </c>
      <c r="P162" s="5">
        <f t="shared" si="9"/>
        <v>2.03125</v>
      </c>
      <c r="Q162" s="5">
        <f t="shared" si="10"/>
        <v>1.953125</v>
      </c>
      <c r="S162">
        <f t="shared" si="6"/>
        <v>1.6779661016949152</v>
      </c>
      <c r="T162">
        <f t="shared" si="7"/>
        <v>18.522333026131811</v>
      </c>
    </row>
    <row r="163" spans="1:20" x14ac:dyDescent="0.25">
      <c r="A163" s="5">
        <v>3</v>
      </c>
      <c r="B163" s="5">
        <f>G100</f>
        <v>20</v>
      </c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>
        <f t="shared" si="8"/>
        <v>1.953125</v>
      </c>
      <c r="P163" s="5">
        <f t="shared" si="9"/>
        <v>2.03125</v>
      </c>
      <c r="Q163" s="5">
        <f t="shared" si="10"/>
        <v>1.9921875</v>
      </c>
      <c r="S163">
        <f t="shared" si="6"/>
        <v>1.7457627118644068</v>
      </c>
      <c r="T163">
        <f t="shared" si="7"/>
        <v>18.375590079627607</v>
      </c>
    </row>
    <row r="164" spans="1:20" x14ac:dyDescent="0.25">
      <c r="A164" s="5">
        <v>2.87</v>
      </c>
      <c r="B164" s="5">
        <f>G100</f>
        <v>20</v>
      </c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>
        <f t="shared" si="8"/>
        <v>1.9921875</v>
      </c>
      <c r="P164" s="5">
        <f t="shared" si="9"/>
        <v>2.03125</v>
      </c>
      <c r="Q164" s="5">
        <f t="shared" si="10"/>
        <v>2.01171875</v>
      </c>
      <c r="S164">
        <f t="shared" si="6"/>
        <v>1.8135593220338984</v>
      </c>
      <c r="T164">
        <f t="shared" si="7"/>
        <v>18.229950942324823</v>
      </c>
    </row>
    <row r="165" spans="1:20" x14ac:dyDescent="0.25">
      <c r="A165" s="5">
        <v>3.13</v>
      </c>
      <c r="B165" s="5">
        <f>G100</f>
        <v>20</v>
      </c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>
        <f t="shared" si="8"/>
        <v>1.9921875</v>
      </c>
      <c r="P165" s="5">
        <f t="shared" si="9"/>
        <v>2.01171875</v>
      </c>
      <c r="Q165" s="5">
        <f t="shared" si="10"/>
        <v>2.001953125</v>
      </c>
      <c r="S165">
        <f t="shared" si="6"/>
        <v>1.8813559322033897</v>
      </c>
      <c r="T165">
        <f t="shared" si="7"/>
        <v>18.085521547966849</v>
      </c>
    </row>
    <row r="166" spans="1:20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>
        <f t="shared" si="8"/>
        <v>1.9921875</v>
      </c>
      <c r="P166" s="5">
        <f t="shared" si="9"/>
        <v>2.001953125</v>
      </c>
      <c r="Q166" s="5">
        <f t="shared" si="10"/>
        <v>1.9970703125</v>
      </c>
      <c r="S166">
        <f t="shared" si="6"/>
        <v>1.9491525423728815</v>
      </c>
      <c r="T166">
        <f t="shared" si="7"/>
        <v>17.942419221301961</v>
      </c>
    </row>
    <row r="167" spans="1:20" x14ac:dyDescent="0.25">
      <c r="A167" s="5">
        <v>3.75</v>
      </c>
      <c r="B167" s="5">
        <f>H93</f>
        <v>10.75</v>
      </c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>
        <f t="shared" si="8"/>
        <v>1.9921875</v>
      </c>
      <c r="P167" s="5">
        <f t="shared" si="9"/>
        <v>1.9970703125</v>
      </c>
      <c r="Q167" s="5">
        <f t="shared" si="10"/>
        <v>1.99462890625</v>
      </c>
      <c r="S167">
        <f t="shared" si="6"/>
        <v>2.0169491525423728</v>
      </c>
      <c r="T167">
        <f t="shared" si="7"/>
        <v>17.800773719391408</v>
      </c>
    </row>
    <row r="168" spans="1:20" x14ac:dyDescent="0.25">
      <c r="A168" s="5">
        <v>4.25</v>
      </c>
      <c r="B168" s="5">
        <f>H93</f>
        <v>10.75</v>
      </c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>
        <f t="shared" si="8"/>
        <v>1.9921875</v>
      </c>
      <c r="P168" s="5">
        <f t="shared" si="9"/>
        <v>1.99462890625</v>
      </c>
      <c r="Q168" s="5">
        <f t="shared" si="10"/>
        <v>1.993408203125</v>
      </c>
      <c r="S168">
        <f t="shared" si="6"/>
        <v>2.0847457627118642</v>
      </c>
      <c r="T168">
        <f t="shared" si="7"/>
        <v>17.660728247134966</v>
      </c>
    </row>
    <row r="169" spans="1:20" x14ac:dyDescent="0.25">
      <c r="A169" s="5">
        <v>4.25</v>
      </c>
      <c r="B169" s="5">
        <f>H95</f>
        <v>15</v>
      </c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>
        <f t="shared" si="8"/>
        <v>1.993408203125</v>
      </c>
      <c r="P169" s="5">
        <f t="shared" si="9"/>
        <v>1.99462890625</v>
      </c>
      <c r="Q169" s="5">
        <f t="shared" si="10"/>
        <v>1.9940185546875</v>
      </c>
      <c r="S169">
        <f t="shared" si="6"/>
        <v>2.152542372881356</v>
      </c>
      <c r="T169">
        <f t="shared" si="7"/>
        <v>17.522440386487595</v>
      </c>
    </row>
    <row r="170" spans="1:20" x14ac:dyDescent="0.25">
      <c r="A170" s="5">
        <v>3.75</v>
      </c>
      <c r="B170" s="5">
        <f>H95</f>
        <v>15</v>
      </c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>
        <f t="shared" si="8"/>
        <v>1.993408203125</v>
      </c>
      <c r="P170" s="5">
        <f t="shared" si="9"/>
        <v>1.9940185546875</v>
      </c>
      <c r="Q170" s="5">
        <f t="shared" si="10"/>
        <v>1.99371337890625</v>
      </c>
      <c r="S170">
        <f t="shared" si="6"/>
        <v>2.2203389830508478</v>
      </c>
      <c r="T170">
        <f t="shared" si="7"/>
        <v>17.386082855404553</v>
      </c>
    </row>
    <row r="171" spans="1:20" x14ac:dyDescent="0.25">
      <c r="A171" s="5">
        <v>3.75</v>
      </c>
      <c r="B171" s="5">
        <f>H93</f>
        <v>10.75</v>
      </c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>
        <f t="shared" si="8"/>
        <v>1.993408203125</v>
      </c>
      <c r="P171" s="5">
        <f t="shared" si="9"/>
        <v>1.99371337890625</v>
      </c>
      <c r="Q171" s="5">
        <f t="shared" si="10"/>
        <v>1.993560791015625</v>
      </c>
      <c r="S171">
        <f t="shared" si="6"/>
        <v>2.2881355932203391</v>
      </c>
      <c r="T171">
        <f t="shared" si="7"/>
        <v>17.251843984623569</v>
      </c>
    </row>
    <row r="172" spans="1:20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>
        <f t="shared" si="8"/>
        <v>1.993408203125</v>
      </c>
      <c r="P172" s="5">
        <f t="shared" si="9"/>
        <v>1.993560791015625</v>
      </c>
      <c r="Q172" s="5">
        <f t="shared" si="10"/>
        <v>1.9934844970703125</v>
      </c>
      <c r="S172">
        <f t="shared" si="6"/>
        <v>2.3559322033898304</v>
      </c>
      <c r="T172">
        <f t="shared" si="7"/>
        <v>17.119927769213358</v>
      </c>
    </row>
    <row r="173" spans="1:20" x14ac:dyDescent="0.25">
      <c r="A173" s="5">
        <v>3.75</v>
      </c>
      <c r="B173" s="5">
        <f>H94</f>
        <v>14</v>
      </c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>
        <f t="shared" si="8"/>
        <v>1.993408203125</v>
      </c>
      <c r="P173" s="5">
        <f t="shared" si="9"/>
        <v>1.9934844970703125</v>
      </c>
      <c r="Q173" s="5">
        <f t="shared" si="10"/>
        <v>1.9934463500976563</v>
      </c>
      <c r="S173">
        <f t="shared" si="6"/>
        <v>2.4237288135593218</v>
      </c>
      <c r="T173">
        <f t="shared" si="7"/>
        <v>16.990553320298055</v>
      </c>
    </row>
    <row r="174" spans="1:20" x14ac:dyDescent="0.25">
      <c r="A174" s="5">
        <v>4.25</v>
      </c>
      <c r="B174" s="5">
        <f>H94</f>
        <v>14</v>
      </c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>
        <f t="shared" si="8"/>
        <v>1.9934463500976563</v>
      </c>
      <c r="P174" s="5">
        <f t="shared" si="9"/>
        <v>1.9934844970703125</v>
      </c>
      <c r="Q174" s="5">
        <f t="shared" si="10"/>
        <v>1.9934654235839844</v>
      </c>
      <c r="S174">
        <f t="shared" si="6"/>
        <v>2.4915254237288136</v>
      </c>
      <c r="T174">
        <f t="shared" si="7"/>
        <v>16.863953515790442</v>
      </c>
    </row>
    <row r="175" spans="1:20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>
        <f t="shared" si="8"/>
        <v>1.9934463500976563</v>
      </c>
      <c r="P175" s="5">
        <f t="shared" si="9"/>
        <v>1.9934654235839844</v>
      </c>
      <c r="Q175" s="5">
        <f t="shared" si="10"/>
        <v>1.9934558868408203</v>
      </c>
      <c r="S175">
        <f t="shared" si="6"/>
        <v>2.5593220338983054</v>
      </c>
      <c r="T175">
        <f t="shared" si="7"/>
        <v>16.740372635565677</v>
      </c>
    </row>
    <row r="176" spans="1:20" x14ac:dyDescent="0.25">
      <c r="A176" s="5">
        <v>3.87</v>
      </c>
      <c r="B176" s="5">
        <f>H99</f>
        <v>7</v>
      </c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>
        <f t="shared" si="8"/>
        <v>1.9934558868408203</v>
      </c>
      <c r="P176" s="5">
        <f t="shared" si="9"/>
        <v>1.9934654235839844</v>
      </c>
      <c r="Q176" s="5">
        <f t="shared" si="10"/>
        <v>1.9934606552124023</v>
      </c>
      <c r="S176">
        <f t="shared" si="6"/>
        <v>2.6271186440677967</v>
      </c>
      <c r="T176">
        <f t="shared" si="7"/>
        <v>16.620062777519866</v>
      </c>
    </row>
    <row r="177" spans="1:20" x14ac:dyDescent="0.25">
      <c r="A177" s="5">
        <v>4.13</v>
      </c>
      <c r="B177" s="5">
        <f>H99</f>
        <v>7</v>
      </c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>
        <f t="shared" si="8"/>
        <v>1.9934606552124023</v>
      </c>
      <c r="P177" s="5">
        <f t="shared" si="9"/>
        <v>1.9934654235839844</v>
      </c>
      <c r="Q177" s="5">
        <f t="shared" si="10"/>
        <v>1.9934630393981934</v>
      </c>
      <c r="S177">
        <f t="shared" si="6"/>
        <v>2.6949152542372881</v>
      </c>
      <c r="T177">
        <f t="shared" si="7"/>
        <v>16.50327889956937</v>
      </c>
    </row>
    <row r="178" spans="1:20" x14ac:dyDescent="0.25">
      <c r="A178" s="5">
        <v>4</v>
      </c>
      <c r="B178" s="5">
        <f>H99</f>
        <v>7</v>
      </c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>
        <f t="shared" si="8"/>
        <v>1.9934630393981934</v>
      </c>
      <c r="P178" s="5">
        <f t="shared" si="9"/>
        <v>1.9934654235839844</v>
      </c>
      <c r="Q178" s="5">
        <f t="shared" si="10"/>
        <v>1.9934642314910889</v>
      </c>
      <c r="S178">
        <f t="shared" si="6"/>
        <v>2.7627118644067794</v>
      </c>
      <c r="T178">
        <f t="shared" si="7"/>
        <v>16.390272431149192</v>
      </c>
    </row>
    <row r="179" spans="1:20" x14ac:dyDescent="0.25">
      <c r="A179" s="5">
        <v>4</v>
      </c>
      <c r="B179" s="5">
        <f>H93</f>
        <v>10.75</v>
      </c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>
        <f t="shared" si="8"/>
        <v>1.9934630393981934</v>
      </c>
      <c r="P179" s="5">
        <f t="shared" si="9"/>
        <v>1.9934642314910889</v>
      </c>
      <c r="Q179" s="5">
        <f t="shared" si="10"/>
        <v>1.9934636354446411</v>
      </c>
      <c r="S179">
        <f t="shared" si="6"/>
        <v>2.8305084745762712</v>
      </c>
      <c r="T179">
        <f t="shared" si="7"/>
        <v>16.281283552580774</v>
      </c>
    </row>
    <row r="180" spans="1:20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>
        <f t="shared" si="8"/>
        <v>1.9934630393981934</v>
      </c>
      <c r="P180" s="5">
        <f t="shared" si="9"/>
        <v>1.9934636354446411</v>
      </c>
      <c r="Q180" s="5">
        <f t="shared" si="10"/>
        <v>1.9934633374214172</v>
      </c>
      <c r="S180">
        <f t="shared" si="6"/>
        <v>2.898305084745763</v>
      </c>
      <c r="T180">
        <f t="shared" si="7"/>
        <v>16.176532445780328</v>
      </c>
    </row>
    <row r="181" spans="1:20" x14ac:dyDescent="0.25">
      <c r="A181" s="5">
        <v>4</v>
      </c>
      <c r="B181" s="5">
        <f>H95</f>
        <v>15</v>
      </c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>
        <f t="shared" si="8"/>
        <v>1.9934633374214172</v>
      </c>
      <c r="P181" s="5">
        <f t="shared" si="9"/>
        <v>1.9934636354446411</v>
      </c>
      <c r="Q181" s="5">
        <f t="shared" si="10"/>
        <v>1.9934634864330292</v>
      </c>
      <c r="S181">
        <f t="shared" si="6"/>
        <v>2.9661016949152543</v>
      </c>
      <c r="T181">
        <f t="shared" si="7"/>
        <v>16.076210050664724</v>
      </c>
    </row>
    <row r="182" spans="1:20" x14ac:dyDescent="0.25">
      <c r="A182" s="5">
        <v>4</v>
      </c>
      <c r="B182" s="5">
        <f>H100</f>
        <v>21</v>
      </c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>
        <f t="shared" si="8"/>
        <v>1.9934634864330292</v>
      </c>
      <c r="P182" s="5">
        <f t="shared" si="9"/>
        <v>1.9934636354446411</v>
      </c>
      <c r="Q182" s="5">
        <f t="shared" si="10"/>
        <v>1.9934635609388351</v>
      </c>
      <c r="S182">
        <f t="shared" si="6"/>
        <v>3.0338983050847457</v>
      </c>
      <c r="T182">
        <f t="shared" si="7"/>
        <v>15.980469073503121</v>
      </c>
    </row>
    <row r="183" spans="1:20" x14ac:dyDescent="0.25">
      <c r="A183" s="5">
        <v>3.87</v>
      </c>
      <c r="B183" s="5">
        <f>H100</f>
        <v>21</v>
      </c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>
        <f t="shared" si="8"/>
        <v>1.9934635609388351</v>
      </c>
      <c r="P183" s="5">
        <f t="shared" si="9"/>
        <v>1.9934636354446411</v>
      </c>
      <c r="Q183" s="5">
        <f t="shared" si="10"/>
        <v>1.9934635981917381</v>
      </c>
      <c r="S183">
        <f t="shared" si="6"/>
        <v>3.1016949152542375</v>
      </c>
      <c r="T183">
        <f t="shared" si="7"/>
        <v>15.889416127803573</v>
      </c>
    </row>
    <row r="184" spans="1:20" x14ac:dyDescent="0.25">
      <c r="A184" s="5">
        <v>4.13</v>
      </c>
      <c r="B184" s="5">
        <f>H100</f>
        <v>21</v>
      </c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>
        <f t="shared" si="8"/>
        <v>1.9934635609388351</v>
      </c>
      <c r="P184" s="5">
        <f t="shared" si="9"/>
        <v>1.9934635981917381</v>
      </c>
      <c r="Q184" s="5">
        <f t="shared" si="10"/>
        <v>1.9934635795652866</v>
      </c>
      <c r="S184">
        <f t="shared" ref="S184:S215" si="11">K123</f>
        <v>3.1694915254237288</v>
      </c>
      <c r="T184">
        <f t="shared" ref="T184:T215" si="12">N123</f>
        <v>15.803105889176898</v>
      </c>
    </row>
    <row r="185" spans="1:20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>
        <f t="shared" si="8"/>
        <v>1.9934635609388351</v>
      </c>
      <c r="P185" s="5">
        <f t="shared" si="9"/>
        <v>1.9934635795652866</v>
      </c>
      <c r="Q185" s="5">
        <f t="shared" si="10"/>
        <v>1.9934635702520609</v>
      </c>
      <c r="S185">
        <f t="shared" si="11"/>
        <v>3.2372881355932202</v>
      </c>
      <c r="T185">
        <f t="shared" si="12"/>
        <v>15.721537982104024</v>
      </c>
    </row>
    <row r="186" spans="1:20" x14ac:dyDescent="0.25">
      <c r="A186" s="5">
        <v>4.75</v>
      </c>
      <c r="B186" s="5">
        <f>I93</f>
        <v>11</v>
      </c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>
        <f t="shared" si="8"/>
        <v>1.9934635609388351</v>
      </c>
      <c r="P186" s="5">
        <f t="shared" si="9"/>
        <v>1.9934635702520609</v>
      </c>
      <c r="Q186" s="5">
        <f t="shared" si="10"/>
        <v>1.993463565595448</v>
      </c>
      <c r="S186">
        <f t="shared" si="11"/>
        <v>3.3050847457627119</v>
      </c>
      <c r="T186">
        <f t="shared" si="12"/>
        <v>15.644657001586983</v>
      </c>
    </row>
    <row r="187" spans="1:20" x14ac:dyDescent="0.25">
      <c r="A187" s="5">
        <v>5.25</v>
      </c>
      <c r="B187" s="5">
        <f>I93</f>
        <v>11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>
        <f t="shared" si="8"/>
        <v>1.993463565595448</v>
      </c>
      <c r="P187" s="5">
        <f t="shared" si="9"/>
        <v>1.9934635702520609</v>
      </c>
      <c r="Q187" s="5">
        <f t="shared" si="10"/>
        <v>1.9934635679237545</v>
      </c>
      <c r="S187">
        <f t="shared" si="11"/>
        <v>3.3728813559322033</v>
      </c>
      <c r="T187">
        <f t="shared" si="12"/>
        <v>15.572355666832841</v>
      </c>
    </row>
    <row r="188" spans="1:20" x14ac:dyDescent="0.25">
      <c r="A188" s="5">
        <v>5.25</v>
      </c>
      <c r="B188" s="5">
        <f>I95</f>
        <v>13.75</v>
      </c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>
        <f t="shared" si="8"/>
        <v>1.993463565595448</v>
      </c>
      <c r="P188" s="5">
        <f t="shared" si="9"/>
        <v>1.9934635679237545</v>
      </c>
      <c r="Q188" s="5">
        <f t="shared" si="10"/>
        <v>1.9934635667596012</v>
      </c>
      <c r="S188">
        <f t="shared" si="11"/>
        <v>3.4406779661016951</v>
      </c>
      <c r="T188">
        <f t="shared" si="12"/>
        <v>15.504480698945677</v>
      </c>
    </row>
    <row r="189" spans="1:20" x14ac:dyDescent="0.25">
      <c r="A189" s="5">
        <v>4.75</v>
      </c>
      <c r="B189" s="5">
        <f>I95</f>
        <v>13.75</v>
      </c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>
        <f t="shared" si="8"/>
        <v>1.993463565595448</v>
      </c>
      <c r="P189" s="5">
        <f t="shared" si="9"/>
        <v>1.9934635667596012</v>
      </c>
      <c r="Q189" s="5">
        <f t="shared" si="10"/>
        <v>1.9934635661775246</v>
      </c>
      <c r="S189">
        <f t="shared" si="11"/>
        <v>3.5084745762711864</v>
      </c>
      <c r="T189">
        <f t="shared" si="12"/>
        <v>15.44084070139626</v>
      </c>
    </row>
    <row r="190" spans="1:20" x14ac:dyDescent="0.25">
      <c r="A190" s="5">
        <v>4.75</v>
      </c>
      <c r="B190" s="5">
        <f>I93</f>
        <v>11</v>
      </c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>
        <f t="shared" si="8"/>
        <v>1.9934635661775246</v>
      </c>
      <c r="P190" s="5">
        <f t="shared" si="9"/>
        <v>1.9934635667596012</v>
      </c>
      <c r="Q190" s="5">
        <f t="shared" si="10"/>
        <v>1.9934635664685629</v>
      </c>
      <c r="S190">
        <f t="shared" si="11"/>
        <v>3.5762711864406778</v>
      </c>
      <c r="T190">
        <f t="shared" si="12"/>
        <v>15.381215160769509</v>
      </c>
    </row>
    <row r="191" spans="1:20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S191">
        <f t="shared" si="11"/>
        <v>3.6440677966101696</v>
      </c>
      <c r="T191">
        <f t="shared" si="12"/>
        <v>15.325363688234733</v>
      </c>
    </row>
    <row r="192" spans="1:20" x14ac:dyDescent="0.25">
      <c r="A192" s="5">
        <v>4.75</v>
      </c>
      <c r="B192" s="5">
        <f>I94</f>
        <v>12</v>
      </c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S192">
        <f t="shared" si="11"/>
        <v>3.7118644067796609</v>
      </c>
      <c r="T192">
        <f t="shared" si="12"/>
        <v>15.273034757975157</v>
      </c>
    </row>
    <row r="193" spans="1:20" x14ac:dyDescent="0.25">
      <c r="A193" s="5">
        <v>5.25</v>
      </c>
      <c r="B193" s="5">
        <f>I94</f>
        <v>12</v>
      </c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S193">
        <f t="shared" si="11"/>
        <v>3.7796610169491527</v>
      </c>
      <c r="T193">
        <f t="shared" si="12"/>
        <v>15.223973411334708</v>
      </c>
    </row>
    <row r="194" spans="1:20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S194">
        <f t="shared" si="11"/>
        <v>3.847457627118644</v>
      </c>
      <c r="T194">
        <f t="shared" si="12"/>
        <v>15.177927626233013</v>
      </c>
    </row>
    <row r="195" spans="1:20" x14ac:dyDescent="0.25">
      <c r="A195" s="5">
        <v>4.87</v>
      </c>
      <c r="B195" s="5">
        <f>I99</f>
        <v>7</v>
      </c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S195">
        <f t="shared" si="11"/>
        <v>3.9152542372881354</v>
      </c>
      <c r="T195">
        <f t="shared" si="12"/>
        <v>15.134653255937479</v>
      </c>
    </row>
    <row r="196" spans="1:20" x14ac:dyDescent="0.25">
      <c r="A196" s="5">
        <v>5.13</v>
      </c>
      <c r="B196" s="5">
        <f>I99</f>
        <v>7</v>
      </c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S196">
        <f t="shared" si="11"/>
        <v>3.9830508474576272</v>
      </c>
      <c r="T196">
        <f t="shared" si="12"/>
        <v>15.093917595336963</v>
      </c>
    </row>
    <row r="197" spans="1:20" x14ac:dyDescent="0.25">
      <c r="A197" s="5">
        <v>5</v>
      </c>
      <c r="B197" s="5">
        <f>I99</f>
        <v>7</v>
      </c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S197">
        <f t="shared" si="11"/>
        <v>4.0508474576271185</v>
      </c>
      <c r="T197">
        <f t="shared" si="12"/>
        <v>15.055501730626769</v>
      </c>
    </row>
    <row r="198" spans="1:20" x14ac:dyDescent="0.25">
      <c r="A198" s="5">
        <v>5</v>
      </c>
      <c r="B198" s="5">
        <f>I93</f>
        <v>11</v>
      </c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S198">
        <f t="shared" si="11"/>
        <v>4.1186440677966107</v>
      </c>
      <c r="T198">
        <f t="shared" si="12"/>
        <v>15.019201876329534</v>
      </c>
    </row>
    <row r="199" spans="1:20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S199">
        <f t="shared" si="11"/>
        <v>4.1864406779661021</v>
      </c>
      <c r="T199">
        <f t="shared" si="12"/>
        <v>14.984829914173751</v>
      </c>
    </row>
    <row r="200" spans="1:20" x14ac:dyDescent="0.25">
      <c r="A200" s="5">
        <v>5</v>
      </c>
      <c r="B200" s="5">
        <f>I95</f>
        <v>13.75</v>
      </c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S200">
        <f t="shared" si="11"/>
        <v>4.2542372881355934</v>
      </c>
      <c r="T200">
        <f t="shared" si="12"/>
        <v>14.952213334703563</v>
      </c>
    </row>
    <row r="201" spans="1:20" x14ac:dyDescent="0.25">
      <c r="A201" s="5">
        <v>5</v>
      </c>
      <c r="B201" s="5">
        <f>I100</f>
        <v>14</v>
      </c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S201">
        <f t="shared" si="11"/>
        <v>4.3220338983050848</v>
      </c>
      <c r="T201">
        <f t="shared" si="12"/>
        <v>14.921194755802306</v>
      </c>
    </row>
    <row r="202" spans="1:20" x14ac:dyDescent="0.25">
      <c r="A202" s="5">
        <v>4.87</v>
      </c>
      <c r="B202" s="5">
        <f>I100</f>
        <v>14</v>
      </c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S202">
        <f t="shared" si="11"/>
        <v>4.3898305084745761</v>
      </c>
      <c r="T202">
        <f t="shared" si="12"/>
        <v>14.891631160768027</v>
      </c>
    </row>
    <row r="203" spans="1:20" x14ac:dyDescent="0.25">
      <c r="A203" s="5">
        <v>5.13</v>
      </c>
      <c r="B203" s="5">
        <f>I100</f>
        <v>14</v>
      </c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S203">
        <f t="shared" si="11"/>
        <v>4.4576271186440675</v>
      </c>
      <c r="T203">
        <f t="shared" si="12"/>
        <v>14.863392967428922</v>
      </c>
    </row>
    <row r="204" spans="1:20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S204">
        <f t="shared" si="11"/>
        <v>4.5254237288135588</v>
      </c>
      <c r="T204">
        <f t="shared" si="12"/>
        <v>14.836363011913271</v>
      </c>
    </row>
    <row r="205" spans="1:20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S205">
        <f t="shared" si="11"/>
        <v>4.593220338983051</v>
      </c>
      <c r="T205">
        <f t="shared" si="12"/>
        <v>14.810435507316178</v>
      </c>
    </row>
    <row r="206" spans="1:20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S206">
        <f t="shared" si="11"/>
        <v>4.6610169491525424</v>
      </c>
      <c r="T206">
        <f t="shared" si="12"/>
        <v>14.785515018820634</v>
      </c>
    </row>
    <row r="207" spans="1:20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S207">
        <f t="shared" si="11"/>
        <v>4.7288135593220337</v>
      </c>
      <c r="T207">
        <f t="shared" si="12"/>
        <v>14.761515482451333</v>
      </c>
    </row>
    <row r="208" spans="1:20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S208">
        <f t="shared" si="11"/>
        <v>4.796610169491526</v>
      </c>
      <c r="T208">
        <f t="shared" si="12"/>
        <v>14.738359283931386</v>
      </c>
    </row>
    <row r="209" spans="1:20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S209">
        <f t="shared" si="11"/>
        <v>4.8644067796610173</v>
      </c>
      <c r="T209">
        <f t="shared" si="12"/>
        <v>14.71597640637918</v>
      </c>
    </row>
    <row r="210" spans="1:20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S210">
        <f t="shared" si="11"/>
        <v>4.9322033898305087</v>
      </c>
      <c r="T210">
        <f t="shared" si="12"/>
        <v>14.694303650171712</v>
      </c>
    </row>
    <row r="211" spans="1:20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S211">
        <f t="shared" si="11"/>
        <v>5</v>
      </c>
      <c r="T211">
        <f t="shared" si="12"/>
        <v>14.673283924648779</v>
      </c>
    </row>
    <row r="212" spans="1:20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20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20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20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20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20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20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20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20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20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20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20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20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9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9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9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9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9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9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9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9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9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9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9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9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9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9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9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9" x14ac:dyDescent="0.25">
      <c r="A240" s="6" t="s">
        <v>3</v>
      </c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5"/>
      <c r="R240" t="s">
        <v>72</v>
      </c>
      <c r="S240" s="12">
        <v>0.08</v>
      </c>
    </row>
    <row r="241" spans="1:19" x14ac:dyDescent="0.25">
      <c r="A241" s="5"/>
      <c r="B241" s="5"/>
      <c r="C241" s="5"/>
      <c r="D241" s="5"/>
      <c r="E241" s="5">
        <v>1</v>
      </c>
      <c r="F241" s="5">
        <v>2</v>
      </c>
      <c r="G241" s="5">
        <v>3</v>
      </c>
      <c r="H241" s="5">
        <v>4</v>
      </c>
      <c r="I241" s="5">
        <v>5</v>
      </c>
      <c r="J241" s="5"/>
      <c r="K241" s="5" t="s">
        <v>35</v>
      </c>
      <c r="L241" s="5" t="s">
        <v>36</v>
      </c>
      <c r="M241" s="5"/>
      <c r="N241" s="5"/>
      <c r="O241" s="5" t="s">
        <v>37</v>
      </c>
      <c r="P241" s="5" t="s">
        <v>38</v>
      </c>
      <c r="Q241" s="5"/>
      <c r="S241" s="13" t="s">
        <v>73</v>
      </c>
    </row>
    <row r="242" spans="1:19" x14ac:dyDescent="0.25">
      <c r="A242" s="5" t="s">
        <v>39</v>
      </c>
      <c r="B242" s="7">
        <f>COUNT(Данные!$D$2:$D$75)</f>
        <v>74</v>
      </c>
      <c r="C242" s="5"/>
      <c r="D242" s="5"/>
      <c r="E242" s="5">
        <f>Данные!D2</f>
        <v>31</v>
      </c>
      <c r="F242" s="5">
        <f>Данные!D3</f>
        <v>31</v>
      </c>
      <c r="G242" s="5">
        <f>Данные!D22</f>
        <v>35</v>
      </c>
      <c r="H242" s="5">
        <f>Данные!D21</f>
        <v>25</v>
      </c>
      <c r="I242" s="5">
        <f>Данные!D61</f>
        <v>24</v>
      </c>
      <c r="J242" s="5"/>
      <c r="K242" s="5">
        <f>_xlfn.RANK.AVG(Данные!B2,Данные!$B$2:$B$75,1)</f>
        <v>4</v>
      </c>
      <c r="L242" s="5">
        <f>_xlfn.RANK.AVG(Данные!D2,Данные!$D$2:$D$75,1)</f>
        <v>60.5</v>
      </c>
      <c r="M242" s="5"/>
      <c r="N242" s="5"/>
      <c r="O242" s="5">
        <f>Данные!B2+(-0.105)</f>
        <v>0.89500000000000002</v>
      </c>
      <c r="P242" s="5">
        <f>Данные!D2</f>
        <v>31</v>
      </c>
      <c r="Q242" s="5"/>
      <c r="S242">
        <f>Данные!$B2+(COUNTIFS(Данные!$B$2:$B2,Данные!$B2,Данные!D$2:D2,Данные!D2)-(COUNTIFS(Данные!$B$2:$B$75,Данные!$B2,Данные!D$2:D$75,Данные!D2)+1)/2)*$S$240</f>
        <v>1</v>
      </c>
    </row>
    <row r="243" spans="1:19" x14ac:dyDescent="0.25">
      <c r="A243" s="5" t="s">
        <v>40</v>
      </c>
      <c r="B243" s="8">
        <f>CORREL(K242:K315,L242:L315)</f>
        <v>0.18254406443705096</v>
      </c>
      <c r="C243" s="5"/>
      <c r="D243" s="5"/>
      <c r="E243" s="5">
        <f>Данные!D6</f>
        <v>30</v>
      </c>
      <c r="F243" s="5">
        <f>Данные!D4</f>
        <v>23</v>
      </c>
      <c r="G243" s="5">
        <f>Данные!D23</f>
        <v>25</v>
      </c>
      <c r="H243" s="5">
        <f>Данные!D31</f>
        <v>32</v>
      </c>
      <c r="I243" s="5">
        <f>Данные!D67</f>
        <v>24</v>
      </c>
      <c r="J243" s="5"/>
      <c r="K243" s="5">
        <f>_xlfn.RANK.AVG(Данные!B3,Данные!$B$2:$B$75,1)</f>
        <v>13.5</v>
      </c>
      <c r="L243" s="5">
        <f>_xlfn.RANK.AVG(Данные!D3,Данные!$D$2:$D$75,1)</f>
        <v>60.5</v>
      </c>
      <c r="M243" s="5"/>
      <c r="N243" s="5"/>
      <c r="O243" s="5">
        <f>Данные!B3+(-0.105)</f>
        <v>1.895</v>
      </c>
      <c r="P243" s="5">
        <f>Данные!D3</f>
        <v>31</v>
      </c>
      <c r="Q243" s="5"/>
      <c r="S243">
        <f>Данные!$B3+(COUNTIFS(Данные!$B$2:$B3,Данные!$B3,Данные!D$2:D3,Данные!D3)-(COUNTIFS(Данные!$B$2:$B$75,Данные!$B3,Данные!D$2:D$75,Данные!D3)+1)/2)*$S$240</f>
        <v>1.96</v>
      </c>
    </row>
    <row r="244" spans="1:19" x14ac:dyDescent="0.25">
      <c r="A244" s="5" t="s">
        <v>41</v>
      </c>
      <c r="B244" s="8">
        <f>TDIST(ABS(B243*SQRT((B242-2)/(1-B243^2))),B242-2,2)</f>
        <v>0.1195463301724775</v>
      </c>
      <c r="C244" s="5"/>
      <c r="D244" s="5"/>
      <c r="E244" s="5">
        <f>Данные!D7</f>
        <v>28</v>
      </c>
      <c r="F244" s="5">
        <f>Данные!D5</f>
        <v>25</v>
      </c>
      <c r="G244" s="5">
        <f>Данные!D24</f>
        <v>26</v>
      </c>
      <c r="H244" s="5">
        <f>Данные!D36</f>
        <v>28</v>
      </c>
      <c r="I244" s="5">
        <f>Данные!D68</f>
        <v>27</v>
      </c>
      <c r="J244" s="5"/>
      <c r="K244" s="5">
        <f>_xlfn.RANK.AVG(Данные!B4,Данные!$B$2:$B$75,1)</f>
        <v>13.5</v>
      </c>
      <c r="L244" s="5">
        <f>_xlfn.RANK.AVG(Данные!D4,Данные!$D$2:$D$75,1)</f>
        <v>4</v>
      </c>
      <c r="M244" s="5"/>
      <c r="N244" s="5"/>
      <c r="O244" s="5">
        <f>Данные!B4+(-0.105)</f>
        <v>1.895</v>
      </c>
      <c r="P244" s="5">
        <f>Данные!D4</f>
        <v>23</v>
      </c>
      <c r="Q244" s="5"/>
      <c r="S244">
        <f>Данные!$B4+(COUNTIFS(Данные!$B$2:$B4,Данные!$B4,Данные!D$2:D4,Данные!D4)-(COUNTIFS(Данные!$B$2:$B$75,Данные!$B4,Данные!D$2:D$75,Данные!D4)+1)/2)*$S$240</f>
        <v>1.92</v>
      </c>
    </row>
    <row r="245" spans="1:19" x14ac:dyDescent="0.25">
      <c r="A245" s="5" t="s">
        <v>42</v>
      </c>
      <c r="B245" s="8">
        <f>INTERCEPT(Данные!$D$2:$D$75,Данные!$B$2:$B$75)</f>
        <v>26.514036182158453</v>
      </c>
      <c r="C245" s="5"/>
      <c r="D245" s="5"/>
      <c r="E245" s="5">
        <f>Данные!D8</f>
        <v>35</v>
      </c>
      <c r="F245" s="5">
        <f>Данные!D9</f>
        <v>33</v>
      </c>
      <c r="G245" s="5">
        <f>Данные!D25</f>
        <v>24</v>
      </c>
      <c r="H245" s="5">
        <f>Данные!D39</f>
        <v>25</v>
      </c>
      <c r="I245" s="5">
        <f>Данные!D71</f>
        <v>30</v>
      </c>
      <c r="J245" s="5"/>
      <c r="K245" s="5">
        <f>_xlfn.RANK.AVG(Данные!B5,Данные!$B$2:$B$75,1)</f>
        <v>13.5</v>
      </c>
      <c r="L245" s="5">
        <f>_xlfn.RANK.AVG(Данные!D5,Данные!$D$2:$D$75,1)</f>
        <v>17</v>
      </c>
      <c r="M245" s="5"/>
      <c r="N245" s="5"/>
      <c r="O245" s="5">
        <f>Данные!B5+(-0.105)</f>
        <v>1.895</v>
      </c>
      <c r="P245" s="5">
        <f>Данные!D5</f>
        <v>25</v>
      </c>
      <c r="Q245" s="5"/>
      <c r="S245">
        <f>Данные!$B5+(COUNTIFS(Данные!$B$2:$B5,Данные!$B5,Данные!D$2:D5,Данные!D5)-(COUNTIFS(Данные!$B$2:$B$75,Данные!$B5,Данные!D$2:D$75,Данные!D5)+1)/2)*$S$240</f>
        <v>1.96</v>
      </c>
    </row>
    <row r="246" spans="1:19" x14ac:dyDescent="0.25">
      <c r="A246" s="5" t="s">
        <v>43</v>
      </c>
      <c r="B246" s="8">
        <f>SLOPE(Данные!$D$2:$D$75,Данные!$B$2:$B$75)</f>
        <v>0.43948845913911416</v>
      </c>
      <c r="C246" s="5"/>
      <c r="D246" s="5"/>
      <c r="E246" s="5">
        <f>Данные!D11</f>
        <v>24</v>
      </c>
      <c r="F246" s="5">
        <f>Данные!D10</f>
        <v>25</v>
      </c>
      <c r="G246" s="5">
        <f>Данные!D26</f>
        <v>27</v>
      </c>
      <c r="H246" s="5">
        <f>Данные!D41</f>
        <v>24</v>
      </c>
      <c r="I246" s="5">
        <f>Данные!D72</f>
        <v>30</v>
      </c>
      <c r="J246" s="5"/>
      <c r="K246" s="5">
        <f>_xlfn.RANK.AVG(Данные!B6,Данные!$B$2:$B$75,1)</f>
        <v>4</v>
      </c>
      <c r="L246" s="5">
        <f>_xlfn.RANK.AVG(Данные!D6,Данные!$D$2:$D$75,1)</f>
        <v>54.5</v>
      </c>
      <c r="M246" s="5"/>
      <c r="N246" s="5"/>
      <c r="O246" s="5">
        <f>Данные!B6+(-0.105)</f>
        <v>0.89500000000000002</v>
      </c>
      <c r="P246" s="5">
        <f>Данные!D6</f>
        <v>30</v>
      </c>
      <c r="Q246" s="5"/>
      <c r="S246">
        <f>Данные!$B6+(COUNTIFS(Данные!$B$2:$B6,Данные!$B6,Данные!D$2:D6,Данные!D6)-(COUNTIFS(Данные!$B$2:$B$75,Данные!$B6,Данные!D$2:D$75,Данные!D6)+1)/2)*$S$240</f>
        <v>0.96</v>
      </c>
    </row>
    <row r="247" spans="1:19" x14ac:dyDescent="0.25">
      <c r="A247" s="5" t="s">
        <v>44</v>
      </c>
      <c r="B247" s="8">
        <f>RSQ(Данные!$D$2:$D$75,Данные!$B$2:$B$75)</f>
        <v>1.7745278511205068E-2</v>
      </c>
      <c r="C247" s="5"/>
      <c r="D247" s="5"/>
      <c r="E247" s="5">
        <f>Данные!D13</f>
        <v>26</v>
      </c>
      <c r="F247" s="5">
        <f>Данные!D12</f>
        <v>20</v>
      </c>
      <c r="G247" s="5">
        <f>Данные!D27</f>
        <v>28</v>
      </c>
      <c r="H247" s="5">
        <f>Данные!D43</f>
        <v>33</v>
      </c>
      <c r="I247" s="5">
        <f>Данные!D73</f>
        <v>29</v>
      </c>
      <c r="J247" s="5"/>
      <c r="K247" s="5">
        <f>_xlfn.RANK.AVG(Данные!B7,Данные!$B$2:$B$75,1)</f>
        <v>4</v>
      </c>
      <c r="L247" s="5">
        <f>_xlfn.RANK.AVG(Данные!D7,Данные!$D$2:$D$75,1)</f>
        <v>42.5</v>
      </c>
      <c r="M247" s="5"/>
      <c r="N247" s="5"/>
      <c r="O247" s="5">
        <f>Данные!B7+(-0.105)</f>
        <v>0.89500000000000002</v>
      </c>
      <c r="P247" s="5">
        <f>Данные!D7</f>
        <v>28</v>
      </c>
      <c r="Q247" s="5"/>
      <c r="S247">
        <f>Данные!$B7+(COUNTIFS(Данные!$B$2:$B7,Данные!$B7,Данные!D$2:D7,Данные!D7)-(COUNTIFS(Данные!$B$2:$B$75,Данные!$B7,Данные!D$2:D$75,Данные!D7)+1)/2)*$S$240</f>
        <v>1</v>
      </c>
    </row>
    <row r="248" spans="1:19" x14ac:dyDescent="0.25">
      <c r="A248" s="5" t="s">
        <v>45</v>
      </c>
      <c r="B248" s="8">
        <f>STEYX(Данные!$D$2:$D$75,Данные!$B$2:$B$75)</f>
        <v>3.5870115608037438</v>
      </c>
      <c r="C248" s="5"/>
      <c r="D248" s="5"/>
      <c r="E248" s="5">
        <f>Данные!D14</f>
        <v>30</v>
      </c>
      <c r="F248" s="5">
        <f>Данные!D15</f>
        <v>24</v>
      </c>
      <c r="G248" s="5">
        <f>Данные!D28</f>
        <v>29</v>
      </c>
      <c r="H248" s="5">
        <f>Данные!D46</f>
        <v>29</v>
      </c>
      <c r="I248" s="5"/>
      <c r="J248" s="5"/>
      <c r="K248" s="5">
        <f>_xlfn.RANK.AVG(Данные!B8,Данные!$B$2:$B$75,1)</f>
        <v>4</v>
      </c>
      <c r="L248" s="5">
        <f>_xlfn.RANK.AVG(Данные!D8,Данные!$D$2:$D$75,1)</f>
        <v>71.5</v>
      </c>
      <c r="M248" s="5"/>
      <c r="N248" s="5"/>
      <c r="O248" s="5">
        <f>Данные!B8+(-0.105)</f>
        <v>0.89500000000000002</v>
      </c>
      <c r="P248" s="5">
        <f>Данные!D8</f>
        <v>35</v>
      </c>
      <c r="Q248" s="5"/>
      <c r="S248">
        <f>Данные!$B8+(COUNTIFS(Данные!$B$2:$B8,Данные!$B8,Данные!D$2:D8,Данные!D8)-(COUNTIFS(Данные!$B$2:$B$75,Данные!$B8,Данные!D$2:D$75,Данные!D8)+1)/2)*$S$240</f>
        <v>1</v>
      </c>
    </row>
    <row r="249" spans="1:19" x14ac:dyDescent="0.25">
      <c r="A249" s="5" t="s">
        <v>46</v>
      </c>
      <c r="B249" s="8">
        <f>B248/SQRT(DEVSQ(Данные!$B$2:$B$75))</f>
        <v>0.38534690873983807</v>
      </c>
      <c r="C249" s="5"/>
      <c r="D249" s="5"/>
      <c r="E249" s="5"/>
      <c r="F249" s="5">
        <f>Данные!D16</f>
        <v>23</v>
      </c>
      <c r="G249" s="5">
        <f>Данные!D29</f>
        <v>26</v>
      </c>
      <c r="H249" s="5">
        <f>Данные!D48</f>
        <v>28</v>
      </c>
      <c r="I249" s="5"/>
      <c r="J249" s="5"/>
      <c r="K249" s="5">
        <f>_xlfn.RANK.AVG(Данные!B9,Данные!$B$2:$B$75,1)</f>
        <v>13.5</v>
      </c>
      <c r="L249" s="5">
        <f>_xlfn.RANK.AVG(Данные!D9,Данные!$D$2:$D$75,1)</f>
        <v>67.5</v>
      </c>
      <c r="M249" s="5"/>
      <c r="N249" s="5"/>
      <c r="O249" s="5">
        <f>Данные!B9+(-0.105)</f>
        <v>1.895</v>
      </c>
      <c r="P249" s="5">
        <f>Данные!D9</f>
        <v>33</v>
      </c>
      <c r="Q249" s="5"/>
      <c r="S249">
        <f>Данные!$B9+(COUNTIFS(Данные!$B$2:$B9,Данные!$B9,Данные!D$2:D9,Данные!D9)-(COUNTIFS(Данные!$B$2:$B$75,Данные!$B9,Данные!D$2:D$75,Данные!D9)+1)/2)*$S$240</f>
        <v>2</v>
      </c>
    </row>
    <row r="250" spans="1:19" x14ac:dyDescent="0.25">
      <c r="A250" s="5" t="s">
        <v>47</v>
      </c>
      <c r="B250" s="8">
        <f>B242-2</f>
        <v>72</v>
      </c>
      <c r="C250" s="5"/>
      <c r="D250" s="5"/>
      <c r="E250" s="5"/>
      <c r="F250" s="5">
        <f>Данные!D17</f>
        <v>23</v>
      </c>
      <c r="G250" s="5">
        <f>Данные!D30</f>
        <v>27</v>
      </c>
      <c r="H250" s="5">
        <f>Данные!D53</f>
        <v>28</v>
      </c>
      <c r="I250" s="5"/>
      <c r="J250" s="5"/>
      <c r="K250" s="5">
        <f>_xlfn.RANK.AVG(Данные!B10,Данные!$B$2:$B$75,1)</f>
        <v>13.5</v>
      </c>
      <c r="L250" s="5">
        <f>_xlfn.RANK.AVG(Данные!D10,Данные!$D$2:$D$75,1)</f>
        <v>17</v>
      </c>
      <c r="M250" s="5"/>
      <c r="N250" s="5"/>
      <c r="O250" s="5">
        <f>Данные!B10+(-0.07)</f>
        <v>1.93</v>
      </c>
      <c r="P250" s="5">
        <f>Данные!D10</f>
        <v>25</v>
      </c>
      <c r="Q250" s="5"/>
      <c r="S250">
        <f>Данные!$B10+(COUNTIFS(Данные!$B$2:$B10,Данные!$B10,Данные!D$2:D10,Данные!D10)-(COUNTIFS(Данные!$B$2:$B$75,Данные!$B10,Данные!D$2:D$75,Данные!D10)+1)/2)*$S$240</f>
        <v>2.04</v>
      </c>
    </row>
    <row r="251" spans="1:19" x14ac:dyDescent="0.25">
      <c r="A251" s="5" t="s">
        <v>48</v>
      </c>
      <c r="B251" s="8">
        <f>B246/B249</f>
        <v>1.1405008037467586</v>
      </c>
      <c r="C251" s="5"/>
      <c r="D251" s="5"/>
      <c r="E251" s="5"/>
      <c r="F251" s="5">
        <f>Данные!D18</f>
        <v>31</v>
      </c>
      <c r="G251" s="5">
        <f>Данные!D32</f>
        <v>26</v>
      </c>
      <c r="H251" s="5">
        <f>Данные!D55</f>
        <v>26</v>
      </c>
      <c r="I251" s="5"/>
      <c r="J251" s="5"/>
      <c r="K251" s="5">
        <f>_xlfn.RANK.AVG(Данные!B11,Данные!$B$2:$B$75,1)</f>
        <v>4</v>
      </c>
      <c r="L251" s="5">
        <f>_xlfn.RANK.AVG(Данные!D11,Данные!$D$2:$D$75,1)</f>
        <v>9</v>
      </c>
      <c r="M251" s="5"/>
      <c r="N251" s="5"/>
      <c r="O251" s="5">
        <f>Данные!B11+(-0.105)</f>
        <v>0.89500000000000002</v>
      </c>
      <c r="P251" s="5">
        <f>Данные!D11</f>
        <v>24</v>
      </c>
      <c r="Q251" s="5"/>
      <c r="S251">
        <f>Данные!$B11+(COUNTIFS(Данные!$B$2:$B11,Данные!$B11,Данные!D$2:D11,Данные!D11)-(COUNTIFS(Данные!$B$2:$B$75,Данные!$B11,Данные!D$2:D$75,Данные!D11)+1)/2)*$S$240</f>
        <v>1</v>
      </c>
    </row>
    <row r="252" spans="1:19" x14ac:dyDescent="0.25">
      <c r="A252" s="5" t="s">
        <v>49</v>
      </c>
      <c r="B252" s="8">
        <f>TDIST(ABS(B251),B250,2)</f>
        <v>0.25785729060487728</v>
      </c>
      <c r="C252" s="5"/>
      <c r="D252" s="5"/>
      <c r="E252" s="5"/>
      <c r="F252" s="5">
        <f>Данные!D19</f>
        <v>24</v>
      </c>
      <c r="G252" s="5">
        <f>Данные!D33</f>
        <v>27</v>
      </c>
      <c r="H252" s="5">
        <f>Данные!D56</f>
        <v>32</v>
      </c>
      <c r="I252" s="5"/>
      <c r="J252" s="5"/>
      <c r="K252" s="5">
        <f>_xlfn.RANK.AVG(Данные!B12,Данные!$B$2:$B$75,1)</f>
        <v>13.5</v>
      </c>
      <c r="L252" s="5">
        <f>_xlfn.RANK.AVG(Данные!D12,Данные!$D$2:$D$75,1)</f>
        <v>1</v>
      </c>
      <c r="M252" s="5"/>
      <c r="N252" s="5"/>
      <c r="O252" s="5">
        <f>Данные!B12+(-0.105)</f>
        <v>1.895</v>
      </c>
      <c r="P252" s="5">
        <f>Данные!D12</f>
        <v>20</v>
      </c>
      <c r="Q252" s="5"/>
      <c r="S252">
        <f>Данные!$B12+(COUNTIFS(Данные!$B$2:$B12,Данные!$B12,Данные!D$2:D12,Данные!D12)-(COUNTIFS(Данные!$B$2:$B$75,Данные!$B12,Данные!D$2:D$75,Данные!D12)+1)/2)*$S$240</f>
        <v>2</v>
      </c>
    </row>
    <row r="253" spans="1:19" x14ac:dyDescent="0.25">
      <c r="A253" s="5" t="s">
        <v>50</v>
      </c>
      <c r="B253" s="8">
        <f>Q420</f>
        <v>1.9934635664685629</v>
      </c>
      <c r="C253" s="5"/>
      <c r="D253" s="5"/>
      <c r="E253" s="5"/>
      <c r="F253" s="5">
        <f>Данные!D20</f>
        <v>22</v>
      </c>
      <c r="G253" s="5">
        <f>Данные!D34</f>
        <v>30</v>
      </c>
      <c r="H253" s="5">
        <f>Данные!D57</f>
        <v>25</v>
      </c>
      <c r="I253" s="5"/>
      <c r="J253" s="5"/>
      <c r="K253" s="5">
        <f>_xlfn.RANK.AVG(Данные!B13,Данные!$B$2:$B$75,1)</f>
        <v>4</v>
      </c>
      <c r="L253" s="5">
        <f>_xlfn.RANK.AVG(Данные!D13,Данные!$D$2:$D$75,1)</f>
        <v>26</v>
      </c>
      <c r="M253" s="5"/>
      <c r="N253" s="5"/>
      <c r="O253" s="5">
        <f>Данные!B13+(-0.105)</f>
        <v>0.89500000000000002</v>
      </c>
      <c r="P253" s="5">
        <f>Данные!D13</f>
        <v>26</v>
      </c>
      <c r="Q253" s="5"/>
      <c r="S253">
        <f>Данные!$B13+(COUNTIFS(Данные!$B$2:$B13,Данные!$B13,Данные!D$2:D13,Данные!D13)-(COUNTIFS(Данные!$B$2:$B$75,Данные!$B13,Данные!D$2:D$75,Данные!D13)+1)/2)*$S$240</f>
        <v>1</v>
      </c>
    </row>
    <row r="254" spans="1:19" x14ac:dyDescent="0.25">
      <c r="A254" s="5"/>
      <c r="B254" s="5"/>
      <c r="C254" s="5"/>
      <c r="D254" s="5"/>
      <c r="E254" s="5"/>
      <c r="F254" s="5"/>
      <c r="G254" s="5">
        <f>Данные!D35</f>
        <v>27</v>
      </c>
      <c r="H254" s="5">
        <f>Данные!D58</f>
        <v>26</v>
      </c>
      <c r="I254" s="5"/>
      <c r="J254" s="5"/>
      <c r="K254" s="5">
        <f>_xlfn.RANK.AVG(Данные!B14,Данные!$B$2:$B$75,1)</f>
        <v>4</v>
      </c>
      <c r="L254" s="5">
        <f>_xlfn.RANK.AVG(Данные!D14,Данные!$D$2:$D$75,1)</f>
        <v>54.5</v>
      </c>
      <c r="M254" s="5"/>
      <c r="N254" s="5"/>
      <c r="O254" s="5">
        <f>Данные!B14+(-0.07)</f>
        <v>0.92999999999999994</v>
      </c>
      <c r="P254" s="5">
        <f>Данные!D14</f>
        <v>30</v>
      </c>
      <c r="Q254" s="5"/>
      <c r="S254">
        <f>Данные!$B14+(COUNTIFS(Данные!$B$2:$B14,Данные!$B14,Данные!D$2:D14,Данные!D14)-(COUNTIFS(Данные!$B$2:$B$75,Данные!$B14,Данные!D$2:D$75,Данные!D14)+1)/2)*$S$240</f>
        <v>1.04</v>
      </c>
    </row>
    <row r="255" spans="1:19" x14ac:dyDescent="0.25">
      <c r="A255" s="5"/>
      <c r="B255" s="5"/>
      <c r="C255" s="5"/>
      <c r="D255" s="5"/>
      <c r="E255" s="5"/>
      <c r="F255" s="5"/>
      <c r="G255" s="5">
        <f>Данные!D37</f>
        <v>31</v>
      </c>
      <c r="H255" s="5">
        <f>Данные!D59</f>
        <v>27</v>
      </c>
      <c r="I255" s="5"/>
      <c r="J255" s="5"/>
      <c r="K255" s="5">
        <f>_xlfn.RANK.AVG(Данные!B15,Данные!$B$2:$B$75,1)</f>
        <v>13.5</v>
      </c>
      <c r="L255" s="5">
        <f>_xlfn.RANK.AVG(Данные!D15,Данные!$D$2:$D$75,1)</f>
        <v>9</v>
      </c>
      <c r="M255" s="5"/>
      <c r="N255" s="5"/>
      <c r="O255" s="5">
        <f>Данные!B15+(-0.105)</f>
        <v>1.895</v>
      </c>
      <c r="P255" s="5">
        <f>Данные!D15</f>
        <v>24</v>
      </c>
      <c r="Q255" s="5"/>
      <c r="S255">
        <f>Данные!$B15+(COUNTIFS(Данные!$B$2:$B15,Данные!$B15,Данные!D$2:D15,Данные!D15)-(COUNTIFS(Данные!$B$2:$B$75,Данные!$B15,Данные!D$2:D$75,Данные!D15)+1)/2)*$S$240</f>
        <v>1.96</v>
      </c>
    </row>
    <row r="256" spans="1:19" x14ac:dyDescent="0.25">
      <c r="A256" s="5"/>
      <c r="B256" s="5"/>
      <c r="C256" s="5"/>
      <c r="D256" s="5"/>
      <c r="E256" s="5"/>
      <c r="F256" s="5"/>
      <c r="G256" s="5">
        <f>Данные!D38</f>
        <v>25</v>
      </c>
      <c r="H256" s="5">
        <f>Данные!D60</f>
        <v>31</v>
      </c>
      <c r="I256" s="5"/>
      <c r="J256" s="5"/>
      <c r="K256" s="5">
        <f>_xlfn.RANK.AVG(Данные!B16,Данные!$B$2:$B$75,1)</f>
        <v>13.5</v>
      </c>
      <c r="L256" s="5">
        <f>_xlfn.RANK.AVG(Данные!D16,Данные!$D$2:$D$75,1)</f>
        <v>4</v>
      </c>
      <c r="M256" s="5"/>
      <c r="N256" s="5"/>
      <c r="O256" s="5">
        <f>Данные!B16+(-0.07)</f>
        <v>1.93</v>
      </c>
      <c r="P256" s="5">
        <f>Данные!D16</f>
        <v>23</v>
      </c>
      <c r="Q256" s="5"/>
      <c r="S256">
        <f>Данные!$B16+(COUNTIFS(Данные!$B$2:$B16,Данные!$B16,Данные!D$2:D16,Данные!D16)-(COUNTIFS(Данные!$B$2:$B$75,Данные!$B16,Данные!D$2:D$75,Данные!D16)+1)/2)*$S$240</f>
        <v>2</v>
      </c>
    </row>
    <row r="257" spans="1:19" x14ac:dyDescent="0.25">
      <c r="A257" s="5"/>
      <c r="B257" s="5"/>
      <c r="C257" s="5"/>
      <c r="D257" s="5"/>
      <c r="E257" s="5"/>
      <c r="F257" s="5"/>
      <c r="G257" s="5">
        <f>Данные!D40</f>
        <v>26</v>
      </c>
      <c r="H257" s="5">
        <f>Данные!D62</f>
        <v>35</v>
      </c>
      <c r="I257" s="5"/>
      <c r="J257" s="5"/>
      <c r="K257" s="5">
        <f>_xlfn.RANK.AVG(Данные!B17,Данные!$B$2:$B$75,1)</f>
        <v>13.5</v>
      </c>
      <c r="L257" s="5">
        <f>_xlfn.RANK.AVG(Данные!D17,Данные!$D$2:$D$75,1)</f>
        <v>4</v>
      </c>
      <c r="M257" s="5"/>
      <c r="N257" s="5"/>
      <c r="O257" s="5">
        <f>Данные!B17+(-0.035)</f>
        <v>1.9650000000000001</v>
      </c>
      <c r="P257" s="5">
        <f>Данные!D17</f>
        <v>23</v>
      </c>
      <c r="Q257" s="5"/>
      <c r="S257">
        <f>Данные!$B17+(COUNTIFS(Данные!$B$2:$B17,Данные!$B17,Данные!D$2:D17,Данные!D17)-(COUNTIFS(Данные!$B$2:$B$75,Данные!$B17,Данные!D$2:D$75,Данные!D17)+1)/2)*$S$240</f>
        <v>2.08</v>
      </c>
    </row>
    <row r="258" spans="1:19" x14ac:dyDescent="0.25">
      <c r="A258" s="5"/>
      <c r="B258" s="5"/>
      <c r="C258" s="5"/>
      <c r="D258" s="5"/>
      <c r="E258" s="5"/>
      <c r="F258" s="5"/>
      <c r="G258" s="5">
        <f>Данные!D42</f>
        <v>25</v>
      </c>
      <c r="H258" s="5">
        <f>Данные!D63</f>
        <v>39</v>
      </c>
      <c r="I258" s="5"/>
      <c r="J258" s="5"/>
      <c r="K258" s="5">
        <f>_xlfn.RANK.AVG(Данные!B18,Данные!$B$2:$B$75,1)</f>
        <v>13.5</v>
      </c>
      <c r="L258" s="5">
        <f>_xlfn.RANK.AVG(Данные!D18,Данные!$D$2:$D$75,1)</f>
        <v>60.5</v>
      </c>
      <c r="M258" s="5"/>
      <c r="N258" s="5"/>
      <c r="O258" s="5">
        <f>Данные!B18+(-0.07)</f>
        <v>1.93</v>
      </c>
      <c r="P258" s="5">
        <f>Данные!D18</f>
        <v>31</v>
      </c>
      <c r="Q258" s="5"/>
      <c r="S258">
        <f>Данные!$B18+(COUNTIFS(Данные!$B$2:$B18,Данные!$B18,Данные!D$2:D18,Данные!D18)-(COUNTIFS(Данные!$B$2:$B$75,Данные!$B18,Данные!D$2:D$75,Данные!D18)+1)/2)*$S$240</f>
        <v>2.04</v>
      </c>
    </row>
    <row r="259" spans="1:19" x14ac:dyDescent="0.25">
      <c r="A259" s="5"/>
      <c r="B259" s="5"/>
      <c r="C259" s="5"/>
      <c r="D259" s="5"/>
      <c r="E259" s="5"/>
      <c r="F259" s="5"/>
      <c r="G259" s="5">
        <f>Данные!D44</f>
        <v>29</v>
      </c>
      <c r="H259" s="5">
        <f>Данные!D64</f>
        <v>29</v>
      </c>
      <c r="I259" s="5"/>
      <c r="J259" s="5"/>
      <c r="K259" s="5">
        <f>_xlfn.RANK.AVG(Данные!B19,Данные!$B$2:$B$75,1)</f>
        <v>13.5</v>
      </c>
      <c r="L259" s="5">
        <f>_xlfn.RANK.AVG(Данные!D19,Данные!$D$2:$D$75,1)</f>
        <v>9</v>
      </c>
      <c r="M259" s="5"/>
      <c r="N259" s="5"/>
      <c r="O259" s="5">
        <f>Данные!B19+(-0.07)</f>
        <v>1.93</v>
      </c>
      <c r="P259" s="5">
        <f>Данные!D19</f>
        <v>24</v>
      </c>
      <c r="Q259" s="5"/>
      <c r="S259">
        <f>Данные!$B19+(COUNTIFS(Данные!$B$2:$B19,Данные!$B19,Данные!D$2:D19,Данные!D19)-(COUNTIFS(Данные!$B$2:$B$75,Данные!$B19,Данные!D$2:D$75,Данные!D19)+1)/2)*$S$240</f>
        <v>2.04</v>
      </c>
    </row>
    <row r="260" spans="1:19" x14ac:dyDescent="0.25">
      <c r="A260" s="5"/>
      <c r="B260" s="5"/>
      <c r="C260" s="5"/>
      <c r="D260" s="5"/>
      <c r="E260" s="5"/>
      <c r="F260" s="5"/>
      <c r="G260" s="5">
        <f>Данные!D45</f>
        <v>35</v>
      </c>
      <c r="H260" s="5">
        <f>Данные!D65</f>
        <v>26</v>
      </c>
      <c r="I260" s="5"/>
      <c r="J260" s="5"/>
      <c r="K260" s="5">
        <f>_xlfn.RANK.AVG(Данные!B20,Данные!$B$2:$B$75,1)</f>
        <v>13.5</v>
      </c>
      <c r="L260" s="5">
        <f>_xlfn.RANK.AVG(Данные!D20,Данные!$D$2:$D$75,1)</f>
        <v>2</v>
      </c>
      <c r="M260" s="5"/>
      <c r="N260" s="5"/>
      <c r="O260" s="5">
        <f>Данные!B20+(-0.105)</f>
        <v>1.895</v>
      </c>
      <c r="P260" s="5">
        <f>Данные!D20</f>
        <v>22</v>
      </c>
      <c r="Q260" s="5"/>
      <c r="S260">
        <f>Данные!$B20+(COUNTIFS(Данные!$B$2:$B20,Данные!$B20,Данные!D$2:D20,Данные!D20)-(COUNTIFS(Данные!$B$2:$B$75,Данные!$B20,Данные!D$2:D$75,Данные!D20)+1)/2)*$S$240</f>
        <v>2</v>
      </c>
    </row>
    <row r="261" spans="1:19" x14ac:dyDescent="0.25">
      <c r="A261" s="5"/>
      <c r="B261" s="5"/>
      <c r="C261" s="5"/>
      <c r="D261" s="5"/>
      <c r="E261" s="5"/>
      <c r="F261" s="5"/>
      <c r="G261" s="5">
        <f>Данные!D47</f>
        <v>28</v>
      </c>
      <c r="H261" s="5">
        <f>Данные!D66</f>
        <v>33</v>
      </c>
      <c r="I261" s="5"/>
      <c r="J261" s="5"/>
      <c r="K261" s="5">
        <f>_xlfn.RANK.AVG(Данные!B21,Данные!$B$2:$B$75,1)</f>
        <v>56.5</v>
      </c>
      <c r="L261" s="5">
        <f>_xlfn.RANK.AVG(Данные!D21,Данные!$D$2:$D$75,1)</f>
        <v>17</v>
      </c>
      <c r="M261" s="5"/>
      <c r="N261" s="5"/>
      <c r="O261" s="5">
        <f>Данные!B21+(-0.105)</f>
        <v>3.895</v>
      </c>
      <c r="P261" s="5">
        <f>Данные!D21</f>
        <v>25</v>
      </c>
      <c r="Q261" s="5"/>
      <c r="S261">
        <f>Данные!$B21+(COUNTIFS(Данные!$B$2:$B21,Данные!$B21,Данные!D$2:D21,Данные!D21)-(COUNTIFS(Данные!$B$2:$B$75,Данные!$B21,Данные!D$2:D$75,Данные!D21)+1)/2)*$S$240</f>
        <v>3.92</v>
      </c>
    </row>
    <row r="262" spans="1:19" x14ac:dyDescent="0.25">
      <c r="A262" s="5"/>
      <c r="B262" s="5"/>
      <c r="C262" s="5"/>
      <c r="D262" s="5"/>
      <c r="E262" s="5"/>
      <c r="F262" s="5"/>
      <c r="G262" s="5">
        <f>Данные!D49</f>
        <v>30</v>
      </c>
      <c r="H262" s="5">
        <f>Данные!D69</f>
        <v>28</v>
      </c>
      <c r="I262" s="5"/>
      <c r="J262" s="5"/>
      <c r="K262" s="5">
        <f>_xlfn.RANK.AVG(Данные!B22,Данные!$B$2:$B$75,1)</f>
        <v>32</v>
      </c>
      <c r="L262" s="5">
        <f>_xlfn.RANK.AVG(Данные!D22,Данные!$D$2:$D$75,1)</f>
        <v>71.5</v>
      </c>
      <c r="M262" s="5"/>
      <c r="N262" s="5"/>
      <c r="O262" s="5">
        <f>Данные!B22+(-0.105)</f>
        <v>2.895</v>
      </c>
      <c r="P262" s="5">
        <f>Данные!D22</f>
        <v>35</v>
      </c>
      <c r="Q262" s="5"/>
      <c r="S262">
        <f>Данные!$B22+(COUNTIFS(Данные!$B$2:$B22,Данные!$B22,Данные!D$2:D22,Данные!D22)-(COUNTIFS(Данные!$B$2:$B$75,Данные!$B22,Данные!D$2:D$75,Данные!D22)+1)/2)*$S$240</f>
        <v>2.96</v>
      </c>
    </row>
    <row r="263" spans="1:19" x14ac:dyDescent="0.25">
      <c r="A263" s="5"/>
      <c r="B263" s="5"/>
      <c r="C263" s="5"/>
      <c r="D263" s="5"/>
      <c r="E263" s="5"/>
      <c r="F263" s="5"/>
      <c r="G263" s="5">
        <f>Данные!D50</f>
        <v>27</v>
      </c>
      <c r="H263" s="5">
        <f>Данные!D70</f>
        <v>31</v>
      </c>
      <c r="I263" s="5"/>
      <c r="J263" s="5"/>
      <c r="K263" s="5">
        <f>_xlfn.RANK.AVG(Данные!B23,Данные!$B$2:$B$75,1)</f>
        <v>32</v>
      </c>
      <c r="L263" s="5">
        <f>_xlfn.RANK.AVG(Данные!D23,Данные!$D$2:$D$75,1)</f>
        <v>17</v>
      </c>
      <c r="M263" s="5"/>
      <c r="N263" s="5"/>
      <c r="O263" s="5">
        <f>Данные!B23+(-0.105)</f>
        <v>2.895</v>
      </c>
      <c r="P263" s="5">
        <f>Данные!D23</f>
        <v>25</v>
      </c>
      <c r="Q263" s="5"/>
      <c r="S263">
        <f>Данные!$B23+(COUNTIFS(Данные!$B$2:$B23,Данные!$B23,Данные!D$2:D23,Данные!D23)-(COUNTIFS(Данные!$B$2:$B$75,Данные!$B23,Данные!D$2:D$75,Данные!D23)+1)/2)*$S$240</f>
        <v>2.88</v>
      </c>
    </row>
    <row r="264" spans="1:19" x14ac:dyDescent="0.25">
      <c r="A264" s="5"/>
      <c r="B264" s="5"/>
      <c r="C264" s="5"/>
      <c r="D264" s="5"/>
      <c r="E264" s="5"/>
      <c r="F264" s="5"/>
      <c r="G264" s="5">
        <f>Данные!D51</f>
        <v>26</v>
      </c>
      <c r="H264" s="5">
        <f>Данные!D74</f>
        <v>33</v>
      </c>
      <c r="I264" s="5"/>
      <c r="J264" s="5"/>
      <c r="K264" s="5">
        <f>_xlfn.RANK.AVG(Данные!B24,Данные!$B$2:$B$75,1)</f>
        <v>32</v>
      </c>
      <c r="L264" s="5">
        <f>_xlfn.RANK.AVG(Данные!D24,Данные!$D$2:$D$75,1)</f>
        <v>26</v>
      </c>
      <c r="M264" s="5"/>
      <c r="N264" s="5"/>
      <c r="O264" s="5">
        <f>Данные!B24+(-0.105)</f>
        <v>2.895</v>
      </c>
      <c r="P264" s="5">
        <f>Данные!D24</f>
        <v>26</v>
      </c>
      <c r="Q264" s="5"/>
      <c r="S264">
        <f>Данные!$B24+(COUNTIFS(Данные!$B$2:$B24,Данные!$B24,Данные!D$2:D24,Данные!D24)-(COUNTIFS(Данные!$B$2:$B$75,Данные!$B24,Данные!D$2:D$75,Данные!D24)+1)/2)*$S$240</f>
        <v>2.84</v>
      </c>
    </row>
    <row r="265" spans="1:19" x14ac:dyDescent="0.25">
      <c r="A265" s="5"/>
      <c r="B265" s="5"/>
      <c r="C265" s="5"/>
      <c r="D265" s="5"/>
      <c r="E265" s="5"/>
      <c r="F265" s="5"/>
      <c r="G265" s="5">
        <f>Данные!D52</f>
        <v>27</v>
      </c>
      <c r="H265" s="5">
        <f>Данные!D75</f>
        <v>28</v>
      </c>
      <c r="I265" s="5"/>
      <c r="J265" s="5"/>
      <c r="K265" s="5">
        <f>_xlfn.RANK.AVG(Данные!B25,Данные!$B$2:$B$75,1)</f>
        <v>32</v>
      </c>
      <c r="L265" s="5">
        <f>_xlfn.RANK.AVG(Данные!D25,Данные!$D$2:$D$75,1)</f>
        <v>9</v>
      </c>
      <c r="M265" s="5"/>
      <c r="N265" s="5"/>
      <c r="O265" s="5">
        <f>Данные!B25+(-0.105)</f>
        <v>2.895</v>
      </c>
      <c r="P265" s="5">
        <f>Данные!D25</f>
        <v>24</v>
      </c>
      <c r="Q265" s="5"/>
      <c r="S265">
        <f>Данные!$B25+(COUNTIFS(Данные!$B$2:$B25,Данные!$B25,Данные!D$2:D25,Данные!D25)-(COUNTIFS(Данные!$B$2:$B$75,Данные!$B25,Данные!D$2:D$75,Данные!D25)+1)/2)*$S$240</f>
        <v>3</v>
      </c>
    </row>
    <row r="266" spans="1:19" x14ac:dyDescent="0.25">
      <c r="A266" s="5"/>
      <c r="B266" s="5"/>
      <c r="C266" s="5"/>
      <c r="D266" s="5"/>
      <c r="E266" s="5"/>
      <c r="F266" s="5"/>
      <c r="G266" s="5">
        <f>Данные!D54</f>
        <v>25</v>
      </c>
      <c r="H266" s="5"/>
      <c r="I266" s="5"/>
      <c r="J266" s="5"/>
      <c r="K266" s="5">
        <f>_xlfn.RANK.AVG(Данные!B26,Данные!$B$2:$B$75,1)</f>
        <v>32</v>
      </c>
      <c r="L266" s="5">
        <f>_xlfn.RANK.AVG(Данные!D26,Данные!$D$2:$D$75,1)</f>
        <v>34.5</v>
      </c>
      <c r="M266" s="5"/>
      <c r="N266" s="5"/>
      <c r="O266" s="5">
        <f>Данные!B26+(-0.105)</f>
        <v>2.895</v>
      </c>
      <c r="P266" s="5">
        <f>Данные!D26</f>
        <v>27</v>
      </c>
      <c r="Q266" s="5"/>
      <c r="S266">
        <f>Данные!$B26+(COUNTIFS(Данные!$B$2:$B26,Данные!$B26,Данные!D$2:D26,Данные!D26)-(COUNTIFS(Данные!$B$2:$B$75,Данные!$B26,Данные!D$2:D$75,Данные!D26)+1)/2)*$S$240</f>
        <v>2.8</v>
      </c>
    </row>
    <row r="267" spans="1:19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>
        <f>_xlfn.RANK.AVG(Данные!B27,Данные!$B$2:$B$75,1)</f>
        <v>32</v>
      </c>
      <c r="L267" s="5">
        <f>_xlfn.RANK.AVG(Данные!D27,Данные!$D$2:$D$75,1)</f>
        <v>42.5</v>
      </c>
      <c r="M267" s="5"/>
      <c r="N267" s="5"/>
      <c r="O267" s="5">
        <f>Данные!B27+(-0.105)</f>
        <v>2.895</v>
      </c>
      <c r="P267" s="5">
        <f>Данные!D27</f>
        <v>28</v>
      </c>
      <c r="Q267" s="5"/>
      <c r="S267">
        <f>Данные!$B27+(COUNTIFS(Данные!$B$2:$B27,Данные!$B27,Данные!D$2:D27,Данные!D27)-(COUNTIFS(Данные!$B$2:$B$75,Данные!$B27,Данные!D$2:D$75,Данные!D27)+1)/2)*$S$240</f>
        <v>2.96</v>
      </c>
    </row>
    <row r="268" spans="1:19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>
        <f>_xlfn.RANK.AVG(Данные!B28,Данные!$B$2:$B$75,1)</f>
        <v>32</v>
      </c>
      <c r="L268" s="5">
        <f>_xlfn.RANK.AVG(Данные!D28,Данные!$D$2:$D$75,1)</f>
        <v>49</v>
      </c>
      <c r="M268" s="5"/>
      <c r="N268" s="5"/>
      <c r="O268" s="5">
        <f>Данные!B28+(-0.105)</f>
        <v>2.895</v>
      </c>
      <c r="P268" s="5">
        <f>Данные!D28</f>
        <v>29</v>
      </c>
      <c r="Q268" s="5"/>
      <c r="S268">
        <f>Данные!$B28+(COUNTIFS(Данные!$B$2:$B28,Данные!$B28,Данные!D$2:D28,Данные!D28)-(COUNTIFS(Данные!$B$2:$B$75,Данные!$B28,Данные!D$2:D$75,Данные!D28)+1)/2)*$S$240</f>
        <v>2.96</v>
      </c>
    </row>
    <row r="269" spans="1:19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>
        <f>_xlfn.RANK.AVG(Данные!B29,Данные!$B$2:$B$75,1)</f>
        <v>32</v>
      </c>
      <c r="L269" s="5">
        <f>_xlfn.RANK.AVG(Данные!D29,Данные!$D$2:$D$75,1)</f>
        <v>26</v>
      </c>
      <c r="M269" s="5"/>
      <c r="N269" s="5"/>
      <c r="O269" s="5">
        <f>Данные!B29+(-0.07)</f>
        <v>2.93</v>
      </c>
      <c r="P269" s="5">
        <f>Данные!D29</f>
        <v>26</v>
      </c>
      <c r="Q269" s="5"/>
      <c r="S269">
        <f>Данные!$B29+(COUNTIFS(Данные!$B$2:$B29,Данные!$B29,Данные!D$2:D29,Данные!D29)-(COUNTIFS(Данные!$B$2:$B$75,Данные!$B29,Данные!D$2:D$75,Данные!D29)+1)/2)*$S$240</f>
        <v>2.92</v>
      </c>
    </row>
    <row r="270" spans="1:19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>
        <f>_xlfn.RANK.AVG(Данные!B30,Данные!$B$2:$B$75,1)</f>
        <v>32</v>
      </c>
      <c r="L270" s="5">
        <f>_xlfn.RANK.AVG(Данные!D30,Данные!$D$2:$D$75,1)</f>
        <v>34.5</v>
      </c>
      <c r="M270" s="5"/>
      <c r="N270" s="5"/>
      <c r="O270" s="5">
        <f>Данные!B30+(-0.07)</f>
        <v>2.93</v>
      </c>
      <c r="P270" s="5">
        <f>Данные!D30</f>
        <v>27</v>
      </c>
      <c r="Q270" s="5"/>
      <c r="S270">
        <f>Данные!$B30+(COUNTIFS(Данные!$B$2:$B30,Данные!$B30,Данные!D$2:D30,Данные!D30)-(COUNTIFS(Данные!$B$2:$B$75,Данные!$B30,Данные!D$2:D$75,Данные!D30)+1)/2)*$S$240</f>
        <v>2.88</v>
      </c>
    </row>
    <row r="271" spans="1:19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>
        <f>_xlfn.RANK.AVG(Данные!B31,Данные!$B$2:$B$75,1)</f>
        <v>56.5</v>
      </c>
      <c r="L271" s="5">
        <f>_xlfn.RANK.AVG(Данные!D31,Данные!$D$2:$D$75,1)</f>
        <v>64.5</v>
      </c>
      <c r="M271" s="5"/>
      <c r="N271" s="5"/>
      <c r="O271" s="5">
        <f>Данные!B31+(-0.105)</f>
        <v>3.895</v>
      </c>
      <c r="P271" s="5">
        <f>Данные!D31</f>
        <v>32</v>
      </c>
      <c r="Q271" s="5"/>
      <c r="S271">
        <f>Данные!$B31+(COUNTIFS(Данные!$B$2:$B31,Данные!$B31,Данные!D$2:D31,Данные!D31)-(COUNTIFS(Данные!$B$2:$B$75,Данные!$B31,Данные!D$2:D$75,Данные!D31)+1)/2)*$S$240</f>
        <v>3.96</v>
      </c>
    </row>
    <row r="272" spans="1:19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>
        <f>_xlfn.RANK.AVG(Данные!B32,Данные!$B$2:$B$75,1)</f>
        <v>32</v>
      </c>
      <c r="L272" s="5">
        <f>_xlfn.RANK.AVG(Данные!D32,Данные!$D$2:$D$75,1)</f>
        <v>26</v>
      </c>
      <c r="M272" s="5"/>
      <c r="N272" s="5"/>
      <c r="O272" s="5">
        <f>Данные!B32+(-0.035)</f>
        <v>2.9649999999999999</v>
      </c>
      <c r="P272" s="5">
        <f>Данные!D32</f>
        <v>26</v>
      </c>
      <c r="Q272" s="5"/>
      <c r="S272">
        <f>Данные!$B32+(COUNTIFS(Данные!$B$2:$B32,Данные!$B32,Данные!D$2:D32,Данные!D32)-(COUNTIFS(Данные!$B$2:$B$75,Данные!$B32,Данные!D$2:D$75,Данные!D32)+1)/2)*$S$240</f>
        <v>3</v>
      </c>
    </row>
    <row r="273" spans="1:19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>
        <f>_xlfn.RANK.AVG(Данные!B33,Данные!$B$2:$B$75,1)</f>
        <v>32</v>
      </c>
      <c r="L273" s="5">
        <f>_xlfn.RANK.AVG(Данные!D33,Данные!$D$2:$D$75,1)</f>
        <v>34.5</v>
      </c>
      <c r="M273" s="5"/>
      <c r="N273" s="5"/>
      <c r="O273" s="5">
        <f>Данные!B33+(-0.035)</f>
        <v>2.9649999999999999</v>
      </c>
      <c r="P273" s="5">
        <f>Данные!D33</f>
        <v>27</v>
      </c>
      <c r="Q273" s="5"/>
      <c r="S273">
        <f>Данные!$B33+(COUNTIFS(Данные!$B$2:$B33,Данные!$B33,Данные!D$2:D33,Данные!D33)-(COUNTIFS(Данные!$B$2:$B$75,Данные!$B33,Данные!D$2:D$75,Данные!D33)+1)/2)*$S$240</f>
        <v>2.96</v>
      </c>
    </row>
    <row r="274" spans="1:19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>
        <f>_xlfn.RANK.AVG(Данные!B34,Данные!$B$2:$B$75,1)</f>
        <v>32</v>
      </c>
      <c r="L274" s="5">
        <f>_xlfn.RANK.AVG(Данные!D34,Данные!$D$2:$D$75,1)</f>
        <v>54.5</v>
      </c>
      <c r="M274" s="5"/>
      <c r="N274" s="5"/>
      <c r="O274" s="5">
        <f>Данные!B34+(-0.105)</f>
        <v>2.895</v>
      </c>
      <c r="P274" s="5">
        <f>Данные!D34</f>
        <v>30</v>
      </c>
      <c r="Q274" s="5"/>
      <c r="S274">
        <f>Данные!$B34+(COUNTIFS(Данные!$B$2:$B34,Данные!$B34,Данные!D$2:D34,Данные!D34)-(COUNTIFS(Данные!$B$2:$B$75,Данные!$B34,Данные!D$2:D$75,Данные!D34)+1)/2)*$S$240</f>
        <v>2.96</v>
      </c>
    </row>
    <row r="275" spans="1:19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>
        <f>_xlfn.RANK.AVG(Данные!B35,Данные!$B$2:$B$75,1)</f>
        <v>32</v>
      </c>
      <c r="L275" s="5">
        <f>_xlfn.RANK.AVG(Данные!D35,Данные!$D$2:$D$75,1)</f>
        <v>34.5</v>
      </c>
      <c r="M275" s="5"/>
      <c r="N275" s="5"/>
      <c r="O275" s="5">
        <f>Данные!B35+(0)</f>
        <v>3</v>
      </c>
      <c r="P275" s="5">
        <f>Данные!D35</f>
        <v>27</v>
      </c>
      <c r="Q275" s="5"/>
      <c r="S275">
        <f>Данные!$B35+(COUNTIFS(Данные!$B$2:$B35,Данные!$B35,Данные!D$2:D35,Данные!D35)-(COUNTIFS(Данные!$B$2:$B$75,Данные!$B35,Данные!D$2:D$75,Данные!D35)+1)/2)*$S$240</f>
        <v>3.04</v>
      </c>
    </row>
    <row r="276" spans="1:19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>
        <f>_xlfn.RANK.AVG(Данные!B36,Данные!$B$2:$B$75,1)</f>
        <v>56.5</v>
      </c>
      <c r="L276" s="5">
        <f>_xlfn.RANK.AVG(Данные!D36,Данные!$D$2:$D$75,1)</f>
        <v>42.5</v>
      </c>
      <c r="M276" s="5"/>
      <c r="N276" s="5"/>
      <c r="O276" s="5">
        <f>Данные!B36+(-0.105)</f>
        <v>3.895</v>
      </c>
      <c r="P276" s="5">
        <f>Данные!D36</f>
        <v>28</v>
      </c>
      <c r="Q276" s="5"/>
      <c r="S276">
        <f>Данные!$B36+(COUNTIFS(Данные!$B$2:$B36,Данные!$B36,Данные!D$2:D36,Данные!D36)-(COUNTIFS(Данные!$B$2:$B$75,Данные!$B36,Данные!D$2:D$75,Данные!D36)+1)/2)*$S$240</f>
        <v>3.84</v>
      </c>
    </row>
    <row r="277" spans="1:19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>
        <f>_xlfn.RANK.AVG(Данные!B37,Данные!$B$2:$B$75,1)</f>
        <v>32</v>
      </c>
      <c r="L277" s="5">
        <f>_xlfn.RANK.AVG(Данные!D37,Данные!$D$2:$D$75,1)</f>
        <v>60.5</v>
      </c>
      <c r="M277" s="5"/>
      <c r="N277" s="5"/>
      <c r="O277" s="5">
        <f>Данные!B37+(-0.105)</f>
        <v>2.895</v>
      </c>
      <c r="P277" s="5">
        <f>Данные!D37</f>
        <v>31</v>
      </c>
      <c r="Q277" s="5"/>
      <c r="S277">
        <f>Данные!$B37+(COUNTIFS(Данные!$B$2:$B37,Данные!$B37,Данные!D$2:D37,Данные!D37)-(COUNTIFS(Данные!$B$2:$B$75,Данные!$B37,Данные!D$2:D$75,Данные!D37)+1)/2)*$S$240</f>
        <v>3</v>
      </c>
    </row>
    <row r="278" spans="1:19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>
        <f>_xlfn.RANK.AVG(Данные!B38,Данные!$B$2:$B$75,1)</f>
        <v>32</v>
      </c>
      <c r="L278" s="5">
        <f>_xlfn.RANK.AVG(Данные!D38,Данные!$D$2:$D$75,1)</f>
        <v>17</v>
      </c>
      <c r="M278" s="5"/>
      <c r="N278" s="5"/>
      <c r="O278" s="5">
        <f>Данные!B38+(-0.07)</f>
        <v>2.93</v>
      </c>
      <c r="P278" s="5">
        <f>Данные!D38</f>
        <v>25</v>
      </c>
      <c r="Q278" s="5"/>
      <c r="S278">
        <f>Данные!$B38+(COUNTIFS(Данные!$B$2:$B38,Данные!$B38,Данные!D$2:D38,Данные!D38)-(COUNTIFS(Данные!$B$2:$B$75,Данные!$B38,Данные!D$2:D$75,Данные!D38)+1)/2)*$S$240</f>
        <v>2.96</v>
      </c>
    </row>
    <row r="279" spans="1:19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>
        <f>_xlfn.RANK.AVG(Данные!B39,Данные!$B$2:$B$75,1)</f>
        <v>56.5</v>
      </c>
      <c r="L279" s="5">
        <f>_xlfn.RANK.AVG(Данные!D39,Данные!$D$2:$D$75,1)</f>
        <v>17</v>
      </c>
      <c r="M279" s="5"/>
      <c r="N279" s="5"/>
      <c r="O279" s="5">
        <f>Данные!B39+(-0.07)</f>
        <v>3.93</v>
      </c>
      <c r="P279" s="5">
        <f>Данные!D39</f>
        <v>25</v>
      </c>
      <c r="Q279" s="5"/>
      <c r="S279">
        <f>Данные!$B39+(COUNTIFS(Данные!$B$2:$B39,Данные!$B39,Данные!D$2:D39,Данные!D39)-(COUNTIFS(Данные!$B$2:$B$75,Данные!$B39,Данные!D$2:D$75,Данные!D39)+1)/2)*$S$240</f>
        <v>4</v>
      </c>
    </row>
    <row r="280" spans="1:19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>
        <f>_xlfn.RANK.AVG(Данные!B40,Данные!$B$2:$B$75,1)</f>
        <v>32</v>
      </c>
      <c r="L280" s="5">
        <f>_xlfn.RANK.AVG(Данные!D40,Данные!$D$2:$D$75,1)</f>
        <v>26</v>
      </c>
      <c r="M280" s="5"/>
      <c r="N280" s="5"/>
      <c r="O280" s="5">
        <f>Данные!B40+(0)</f>
        <v>3</v>
      </c>
      <c r="P280" s="5">
        <f>Данные!D40</f>
        <v>26</v>
      </c>
      <c r="Q280" s="5"/>
      <c r="S280">
        <f>Данные!$B40+(COUNTIFS(Данные!$B$2:$B40,Данные!$B40,Данные!D$2:D40,Данные!D40)-(COUNTIFS(Данные!$B$2:$B$75,Данные!$B40,Данные!D$2:D$75,Данные!D40)+1)/2)*$S$240</f>
        <v>3.08</v>
      </c>
    </row>
    <row r="281" spans="1:19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>
        <f>_xlfn.RANK.AVG(Данные!B41,Данные!$B$2:$B$75,1)</f>
        <v>56.5</v>
      </c>
      <c r="L281" s="5">
        <f>_xlfn.RANK.AVG(Данные!D41,Данные!$D$2:$D$75,1)</f>
        <v>9</v>
      </c>
      <c r="M281" s="5"/>
      <c r="N281" s="5"/>
      <c r="O281" s="5">
        <f>Данные!B41+(-0.105)</f>
        <v>3.895</v>
      </c>
      <c r="P281" s="5">
        <f>Данные!D41</f>
        <v>24</v>
      </c>
      <c r="Q281" s="5"/>
      <c r="S281">
        <f>Данные!$B41+(COUNTIFS(Данные!$B$2:$B41,Данные!$B41,Данные!D$2:D41,Данные!D41)-(COUNTIFS(Данные!$B$2:$B$75,Данные!$B41,Данные!D$2:D$75,Данные!D41)+1)/2)*$S$240</f>
        <v>4</v>
      </c>
    </row>
    <row r="282" spans="1:19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>
        <f>_xlfn.RANK.AVG(Данные!B42,Данные!$B$2:$B$75,1)</f>
        <v>32</v>
      </c>
      <c r="L282" s="5">
        <f>_xlfn.RANK.AVG(Данные!D42,Данные!$D$2:$D$75,1)</f>
        <v>17</v>
      </c>
      <c r="M282" s="5"/>
      <c r="N282" s="5"/>
      <c r="O282" s="5">
        <f>Данные!B42+(-0.035)</f>
        <v>2.9649999999999999</v>
      </c>
      <c r="P282" s="5">
        <f>Данные!D42</f>
        <v>25</v>
      </c>
      <c r="Q282" s="5"/>
      <c r="S282">
        <f>Данные!$B42+(COUNTIFS(Данные!$B$2:$B42,Данные!$B42,Данные!D$2:D42,Данные!D42)-(COUNTIFS(Данные!$B$2:$B$75,Данные!$B42,Данные!D$2:D$75,Данные!D42)+1)/2)*$S$240</f>
        <v>3.04</v>
      </c>
    </row>
    <row r="283" spans="1:19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>
        <f>_xlfn.RANK.AVG(Данные!B43,Данные!$B$2:$B$75,1)</f>
        <v>56.5</v>
      </c>
      <c r="L283" s="5">
        <f>_xlfn.RANK.AVG(Данные!D43,Данные!$D$2:$D$75,1)</f>
        <v>67.5</v>
      </c>
      <c r="M283" s="5"/>
      <c r="N283" s="5"/>
      <c r="O283" s="5">
        <f>Данные!B43+(-0.105)</f>
        <v>3.895</v>
      </c>
      <c r="P283" s="5">
        <f>Данные!D43</f>
        <v>33</v>
      </c>
      <c r="Q283" s="5"/>
      <c r="S283">
        <f>Данные!$B43+(COUNTIFS(Данные!$B$2:$B43,Данные!$B43,Данные!D$2:D43,Данные!D43)-(COUNTIFS(Данные!$B$2:$B$75,Данные!$B43,Данные!D$2:D$75,Данные!D43)+1)/2)*$S$240</f>
        <v>3.92</v>
      </c>
    </row>
    <row r="284" spans="1:19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>
        <f>_xlfn.RANK.AVG(Данные!B44,Данные!$B$2:$B$75,1)</f>
        <v>32</v>
      </c>
      <c r="L284" s="5">
        <f>_xlfn.RANK.AVG(Данные!D44,Данные!$D$2:$D$75,1)</f>
        <v>49</v>
      </c>
      <c r="M284" s="5"/>
      <c r="N284" s="5"/>
      <c r="O284" s="5">
        <f>Данные!B44+(-0.07)</f>
        <v>2.93</v>
      </c>
      <c r="P284" s="5">
        <f>Данные!D44</f>
        <v>29</v>
      </c>
      <c r="Q284" s="5"/>
      <c r="S284">
        <f>Данные!$B44+(COUNTIFS(Данные!$B$2:$B44,Данные!$B44,Данные!D$2:D44,Данные!D44)-(COUNTIFS(Данные!$B$2:$B$75,Данные!$B44,Данные!D$2:D$75,Данные!D44)+1)/2)*$S$240</f>
        <v>3.04</v>
      </c>
    </row>
    <row r="285" spans="1:19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>
        <f>_xlfn.RANK.AVG(Данные!B45,Данные!$B$2:$B$75,1)</f>
        <v>32</v>
      </c>
      <c r="L285" s="5">
        <f>_xlfn.RANK.AVG(Данные!D45,Данные!$D$2:$D$75,1)</f>
        <v>71.5</v>
      </c>
      <c r="M285" s="5"/>
      <c r="N285" s="5"/>
      <c r="O285" s="5">
        <f>Данные!B45+(-0.07)</f>
        <v>2.93</v>
      </c>
      <c r="P285" s="5">
        <f>Данные!D45</f>
        <v>35</v>
      </c>
      <c r="Q285" s="5"/>
      <c r="S285">
        <f>Данные!$B45+(COUNTIFS(Данные!$B$2:$B45,Данные!$B45,Данные!D$2:D45,Данные!D45)-(COUNTIFS(Данные!$B$2:$B$75,Данные!$B45,Данные!D$2:D$75,Данные!D45)+1)/2)*$S$240</f>
        <v>3.04</v>
      </c>
    </row>
    <row r="286" spans="1:19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>
        <f>_xlfn.RANK.AVG(Данные!B46,Данные!$B$2:$B$75,1)</f>
        <v>56.5</v>
      </c>
      <c r="L286" s="5">
        <f>_xlfn.RANK.AVG(Данные!D46,Данные!$D$2:$D$75,1)</f>
        <v>49</v>
      </c>
      <c r="M286" s="5"/>
      <c r="N286" s="5"/>
      <c r="O286" s="5">
        <f>Данные!B46+(-0.105)</f>
        <v>3.895</v>
      </c>
      <c r="P286" s="5">
        <f>Данные!D46</f>
        <v>29</v>
      </c>
      <c r="Q286" s="5"/>
      <c r="S286">
        <f>Данные!$B46+(COUNTIFS(Данные!$B$2:$B46,Данные!$B46,Данные!D$2:D46,Данные!D46)-(COUNTIFS(Данные!$B$2:$B$75,Данные!$B46,Данные!D$2:D$75,Данные!D46)+1)/2)*$S$240</f>
        <v>3.96</v>
      </c>
    </row>
    <row r="287" spans="1:19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>
        <f>_xlfn.RANK.AVG(Данные!B47,Данные!$B$2:$B$75,1)</f>
        <v>32</v>
      </c>
      <c r="L287" s="5">
        <f>_xlfn.RANK.AVG(Данные!D47,Данные!$D$2:$D$75,1)</f>
        <v>42.5</v>
      </c>
      <c r="M287" s="5"/>
      <c r="N287" s="5"/>
      <c r="O287" s="5">
        <f>Данные!B47+(-0.07)</f>
        <v>2.93</v>
      </c>
      <c r="P287" s="5">
        <f>Данные!D47</f>
        <v>28</v>
      </c>
      <c r="Q287" s="5"/>
      <c r="S287">
        <f>Данные!$B47+(COUNTIFS(Данные!$B$2:$B47,Данные!$B47,Данные!D$2:D47,Данные!D47)-(COUNTIFS(Данные!$B$2:$B$75,Данные!$B47,Данные!D$2:D$75,Данные!D47)+1)/2)*$S$240</f>
        <v>3.04</v>
      </c>
    </row>
    <row r="288" spans="1:19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>
        <f>_xlfn.RANK.AVG(Данные!B48,Данные!$B$2:$B$75,1)</f>
        <v>56.5</v>
      </c>
      <c r="L288" s="5">
        <f>_xlfn.RANK.AVG(Данные!D48,Данные!$D$2:$D$75,1)</f>
        <v>42.5</v>
      </c>
      <c r="M288" s="5"/>
      <c r="N288" s="5"/>
      <c r="O288" s="5">
        <f>Данные!B48+(-0.07)</f>
        <v>3.93</v>
      </c>
      <c r="P288" s="5">
        <f>Данные!D48</f>
        <v>28</v>
      </c>
      <c r="Q288" s="5"/>
      <c r="S288">
        <f>Данные!$B48+(COUNTIFS(Данные!$B$2:$B48,Данные!$B48,Данные!D$2:D48,Данные!D48)-(COUNTIFS(Данные!$B$2:$B$75,Данные!$B48,Данные!D$2:D$75,Данные!D48)+1)/2)*$S$240</f>
        <v>3.92</v>
      </c>
    </row>
    <row r="289" spans="1:19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>
        <f>_xlfn.RANK.AVG(Данные!B49,Данные!$B$2:$B$75,1)</f>
        <v>32</v>
      </c>
      <c r="L289" s="5">
        <f>_xlfn.RANK.AVG(Данные!D49,Данные!$D$2:$D$75,1)</f>
        <v>54.5</v>
      </c>
      <c r="M289" s="5"/>
      <c r="N289" s="5"/>
      <c r="O289" s="5">
        <f>Данные!B49+(-0.07)</f>
        <v>2.93</v>
      </c>
      <c r="P289" s="5">
        <f>Данные!D49</f>
        <v>30</v>
      </c>
      <c r="Q289" s="5"/>
      <c r="S289">
        <f>Данные!$B49+(COUNTIFS(Данные!$B$2:$B49,Данные!$B49,Данные!D$2:D49,Данные!D49)-(COUNTIFS(Данные!$B$2:$B$75,Данные!$B49,Данные!D$2:D$75,Данные!D49)+1)/2)*$S$240</f>
        <v>3.04</v>
      </c>
    </row>
    <row r="290" spans="1:19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>
        <f>_xlfn.RANK.AVG(Данные!B50,Данные!$B$2:$B$75,1)</f>
        <v>32</v>
      </c>
      <c r="L290" s="5">
        <f>_xlfn.RANK.AVG(Данные!D50,Данные!$D$2:$D$75,1)</f>
        <v>34.5</v>
      </c>
      <c r="M290" s="5"/>
      <c r="N290" s="5"/>
      <c r="O290" s="5">
        <f>Данные!B50+(0.035)</f>
        <v>3.0350000000000001</v>
      </c>
      <c r="P290" s="5">
        <f>Данные!D50</f>
        <v>27</v>
      </c>
      <c r="Q290" s="5"/>
      <c r="S290">
        <f>Данные!$B50+(COUNTIFS(Данные!$B$2:$B50,Данные!$B50,Данные!D$2:D50,Данные!D50)-(COUNTIFS(Данные!$B$2:$B$75,Данные!$B50,Данные!D$2:D$75,Данные!D50)+1)/2)*$S$240</f>
        <v>3.12</v>
      </c>
    </row>
    <row r="291" spans="1:19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>
        <f>_xlfn.RANK.AVG(Данные!B51,Данные!$B$2:$B$75,1)</f>
        <v>32</v>
      </c>
      <c r="L291" s="5">
        <f>_xlfn.RANK.AVG(Данные!D51,Данные!$D$2:$D$75,1)</f>
        <v>26</v>
      </c>
      <c r="M291" s="5"/>
      <c r="N291" s="5"/>
      <c r="O291" s="5">
        <f>Данные!B51+(0.035)</f>
        <v>3.0350000000000001</v>
      </c>
      <c r="P291" s="5">
        <f>Данные!D51</f>
        <v>26</v>
      </c>
      <c r="Q291" s="5"/>
      <c r="S291">
        <f>Данные!$B51+(COUNTIFS(Данные!$B$2:$B51,Данные!$B51,Данные!D$2:D51,Данные!D51)-(COUNTIFS(Данные!$B$2:$B$75,Данные!$B51,Данные!D$2:D$75,Данные!D51)+1)/2)*$S$240</f>
        <v>3.16</v>
      </c>
    </row>
    <row r="292" spans="1:19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>
        <f>_xlfn.RANK.AVG(Данные!B52,Данные!$B$2:$B$75,1)</f>
        <v>32</v>
      </c>
      <c r="L292" s="5">
        <f>_xlfn.RANK.AVG(Данные!D52,Данные!$D$2:$D$75,1)</f>
        <v>34.5</v>
      </c>
      <c r="M292" s="5"/>
      <c r="N292" s="5"/>
      <c r="O292" s="5">
        <f>Данные!B52+(0.07)</f>
        <v>3.07</v>
      </c>
      <c r="P292" s="5">
        <f>Данные!D52</f>
        <v>27</v>
      </c>
      <c r="Q292" s="5"/>
      <c r="S292">
        <f>Данные!$B52+(COUNTIFS(Данные!$B$2:$B52,Данные!$B52,Данные!D$2:D52,Данные!D52)-(COUNTIFS(Данные!$B$2:$B$75,Данные!$B52,Данные!D$2:D$75,Данные!D52)+1)/2)*$S$240</f>
        <v>3.2</v>
      </c>
    </row>
    <row r="293" spans="1:19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>
        <f>_xlfn.RANK.AVG(Данные!B53,Данные!$B$2:$B$75,1)</f>
        <v>56.5</v>
      </c>
      <c r="L293" s="5">
        <f>_xlfn.RANK.AVG(Данные!D53,Данные!$D$2:$D$75,1)</f>
        <v>42.5</v>
      </c>
      <c r="M293" s="5"/>
      <c r="N293" s="5"/>
      <c r="O293" s="5">
        <f>Данные!B53+(-0.035)</f>
        <v>3.9649999999999999</v>
      </c>
      <c r="P293" s="5">
        <f>Данные!D53</f>
        <v>28</v>
      </c>
      <c r="Q293" s="5"/>
      <c r="S293">
        <f>Данные!$B53+(COUNTIFS(Данные!$B$2:$B53,Данные!$B53,Данные!D$2:D53,Данные!D53)-(COUNTIFS(Данные!$B$2:$B$75,Данные!$B53,Данные!D$2:D$75,Данные!D53)+1)/2)*$S$240</f>
        <v>4</v>
      </c>
    </row>
    <row r="294" spans="1:19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>
        <f>_xlfn.RANK.AVG(Данные!B54,Данные!$B$2:$B$75,1)</f>
        <v>32</v>
      </c>
      <c r="L294" s="5">
        <f>_xlfn.RANK.AVG(Данные!D54,Данные!$D$2:$D$75,1)</f>
        <v>17</v>
      </c>
      <c r="M294" s="5"/>
      <c r="N294" s="5"/>
      <c r="O294" s="5">
        <f>Данные!B54+(0)</f>
        <v>3</v>
      </c>
      <c r="P294" s="5">
        <f>Данные!D54</f>
        <v>25</v>
      </c>
      <c r="Q294" s="5"/>
      <c r="S294">
        <f>Данные!$B54+(COUNTIFS(Данные!$B$2:$B54,Данные!$B54,Данные!D$2:D54,Данные!D54)-(COUNTIFS(Данные!$B$2:$B$75,Данные!$B54,Данные!D$2:D$75,Данные!D54)+1)/2)*$S$240</f>
        <v>3.12</v>
      </c>
    </row>
    <row r="295" spans="1:19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>
        <f>_xlfn.RANK.AVG(Данные!B55,Данные!$B$2:$B$75,1)</f>
        <v>56.5</v>
      </c>
      <c r="L295" s="5">
        <f>_xlfn.RANK.AVG(Данные!D55,Данные!$D$2:$D$75,1)</f>
        <v>26</v>
      </c>
      <c r="M295" s="5"/>
      <c r="N295" s="5"/>
      <c r="O295" s="5">
        <f>Данные!B55+(-0.105)</f>
        <v>3.895</v>
      </c>
      <c r="P295" s="5">
        <f>Данные!D55</f>
        <v>26</v>
      </c>
      <c r="Q295" s="5"/>
      <c r="S295">
        <f>Данные!$B55+(COUNTIFS(Данные!$B$2:$B55,Данные!$B55,Данные!D$2:D55,Данные!D55)-(COUNTIFS(Данные!$B$2:$B$75,Данные!$B55,Данные!D$2:D$75,Данные!D55)+1)/2)*$S$240</f>
        <v>3.92</v>
      </c>
    </row>
    <row r="296" spans="1:19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>
        <f>_xlfn.RANK.AVG(Данные!B56,Данные!$B$2:$B$75,1)</f>
        <v>56.5</v>
      </c>
      <c r="L296" s="5">
        <f>_xlfn.RANK.AVG(Данные!D56,Данные!$D$2:$D$75,1)</f>
        <v>64.5</v>
      </c>
      <c r="M296" s="5"/>
      <c r="N296" s="5"/>
      <c r="O296" s="5">
        <f>Данные!B56+(-0.07)</f>
        <v>3.93</v>
      </c>
      <c r="P296" s="5">
        <f>Данные!D56</f>
        <v>32</v>
      </c>
      <c r="Q296" s="5"/>
      <c r="S296">
        <f>Данные!$B56+(COUNTIFS(Данные!$B$2:$B56,Данные!$B56,Данные!D$2:D56,Данные!D56)-(COUNTIFS(Данные!$B$2:$B$75,Данные!$B56,Данные!D$2:D$75,Данные!D56)+1)/2)*$S$240</f>
        <v>4.04</v>
      </c>
    </row>
    <row r="297" spans="1:19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>
        <f>_xlfn.RANK.AVG(Данные!B57,Данные!$B$2:$B$75,1)</f>
        <v>56.5</v>
      </c>
      <c r="L297" s="5">
        <f>_xlfn.RANK.AVG(Данные!D57,Данные!$D$2:$D$75,1)</f>
        <v>17</v>
      </c>
      <c r="M297" s="5"/>
      <c r="N297" s="5"/>
      <c r="O297" s="5">
        <f>Данные!B57+(-0.035)</f>
        <v>3.9649999999999999</v>
      </c>
      <c r="P297" s="5">
        <f>Данные!D57</f>
        <v>25</v>
      </c>
      <c r="Q297" s="5"/>
      <c r="S297">
        <f>Данные!$B57+(COUNTIFS(Данные!$B$2:$B57,Данные!$B57,Данные!D$2:D57,Данные!D57)-(COUNTIFS(Данные!$B$2:$B$75,Данные!$B57,Данные!D$2:D$75,Данные!D57)+1)/2)*$S$240</f>
        <v>4.08</v>
      </c>
    </row>
    <row r="298" spans="1:19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>
        <f>_xlfn.RANK.AVG(Данные!B58,Данные!$B$2:$B$75,1)</f>
        <v>56.5</v>
      </c>
      <c r="L298" s="5">
        <f>_xlfn.RANK.AVG(Данные!D58,Данные!$D$2:$D$75,1)</f>
        <v>26</v>
      </c>
      <c r="M298" s="5"/>
      <c r="N298" s="5"/>
      <c r="O298" s="5">
        <f>Данные!B58+(-0.07)</f>
        <v>3.93</v>
      </c>
      <c r="P298" s="5">
        <f>Данные!D58</f>
        <v>26</v>
      </c>
      <c r="Q298" s="5"/>
      <c r="S298">
        <f>Данные!$B58+(COUNTIFS(Данные!$B$2:$B58,Данные!$B58,Данные!D$2:D58,Данные!D58)-(COUNTIFS(Данные!$B$2:$B$75,Данные!$B58,Данные!D$2:D$75,Данные!D58)+1)/2)*$S$240</f>
        <v>4</v>
      </c>
    </row>
    <row r="299" spans="1:19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>
        <f>_xlfn.RANK.AVG(Данные!B59,Данные!$B$2:$B$75,1)</f>
        <v>56.5</v>
      </c>
      <c r="L299" s="5">
        <f>_xlfn.RANK.AVG(Данные!D59,Данные!$D$2:$D$75,1)</f>
        <v>34.5</v>
      </c>
      <c r="M299" s="5"/>
      <c r="N299" s="5"/>
      <c r="O299" s="5">
        <f>Данные!B59+(-0.105)</f>
        <v>3.895</v>
      </c>
      <c r="P299" s="5">
        <f>Данные!D59</f>
        <v>27</v>
      </c>
      <c r="Q299" s="5"/>
      <c r="S299">
        <f>Данные!$B59+(COUNTIFS(Данные!$B$2:$B59,Данные!$B59,Данные!D$2:D59,Данные!D59)-(COUNTIFS(Данные!$B$2:$B$75,Данные!$B59,Данные!D$2:D$75,Данные!D59)+1)/2)*$S$240</f>
        <v>4</v>
      </c>
    </row>
    <row r="300" spans="1:19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>
        <f>_xlfn.RANK.AVG(Данные!B60,Данные!$B$2:$B$75,1)</f>
        <v>56.5</v>
      </c>
      <c r="L300" s="5">
        <f>_xlfn.RANK.AVG(Данные!D60,Данные!$D$2:$D$75,1)</f>
        <v>60.5</v>
      </c>
      <c r="M300" s="5"/>
      <c r="N300" s="5"/>
      <c r="O300" s="5">
        <f>Данные!B60+(-0.105)</f>
        <v>3.895</v>
      </c>
      <c r="P300" s="5">
        <f>Данные!D60</f>
        <v>31</v>
      </c>
      <c r="Q300" s="5"/>
      <c r="S300">
        <f>Данные!$B60+(COUNTIFS(Данные!$B$2:$B60,Данные!$B60,Данные!D$2:D60,Данные!D60)-(COUNTIFS(Данные!$B$2:$B$75,Данные!$B60,Данные!D$2:D$75,Данные!D60)+1)/2)*$S$240</f>
        <v>3.96</v>
      </c>
    </row>
    <row r="301" spans="1:19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>
        <f>_xlfn.RANK.AVG(Данные!B61,Данные!$B$2:$B$75,1)</f>
        <v>71.5</v>
      </c>
      <c r="L301" s="5">
        <f>_xlfn.RANK.AVG(Данные!D61,Данные!$D$2:$D$75,1)</f>
        <v>9</v>
      </c>
      <c r="M301" s="5"/>
      <c r="N301" s="5"/>
      <c r="O301" s="5">
        <f>Данные!B61+(-0.105)</f>
        <v>4.8949999999999996</v>
      </c>
      <c r="P301" s="5">
        <f>Данные!D61</f>
        <v>24</v>
      </c>
      <c r="Q301" s="5"/>
      <c r="S301">
        <f>Данные!$B61+(COUNTIFS(Данные!$B$2:$B61,Данные!$B61,Данные!D$2:D61,Данные!D61)-(COUNTIFS(Данные!$B$2:$B$75,Данные!$B61,Данные!D$2:D$75,Данные!D61)+1)/2)*$S$240</f>
        <v>4.96</v>
      </c>
    </row>
    <row r="302" spans="1:19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>
        <f>_xlfn.RANK.AVG(Данные!B62,Данные!$B$2:$B$75,1)</f>
        <v>56.5</v>
      </c>
      <c r="L302" s="5">
        <f>_xlfn.RANK.AVG(Данные!D62,Данные!$D$2:$D$75,1)</f>
        <v>71.5</v>
      </c>
      <c r="M302" s="5"/>
      <c r="N302" s="5"/>
      <c r="O302" s="5">
        <f>Данные!B62+(-0.105)</f>
        <v>3.895</v>
      </c>
      <c r="P302" s="5">
        <f>Данные!D62</f>
        <v>35</v>
      </c>
      <c r="Q302" s="5"/>
      <c r="S302">
        <f>Данные!$B62+(COUNTIFS(Данные!$B$2:$B62,Данные!$B62,Данные!D$2:D62,Данные!D62)-(COUNTIFS(Данные!$B$2:$B$75,Данные!$B62,Данные!D$2:D$75,Данные!D62)+1)/2)*$S$240</f>
        <v>4</v>
      </c>
    </row>
    <row r="303" spans="1:19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>
        <f>_xlfn.RANK.AVG(Данные!B63,Данные!$B$2:$B$75,1)</f>
        <v>56.5</v>
      </c>
      <c r="L303" s="5">
        <f>_xlfn.RANK.AVG(Данные!D63,Данные!$D$2:$D$75,1)</f>
        <v>74</v>
      </c>
      <c r="M303" s="5"/>
      <c r="N303" s="5"/>
      <c r="O303" s="5">
        <f>Данные!B63+(-0.105)</f>
        <v>3.895</v>
      </c>
      <c r="P303" s="5">
        <f>Данные!D63</f>
        <v>39</v>
      </c>
      <c r="Q303" s="5"/>
      <c r="S303">
        <f>Данные!$B63+(COUNTIFS(Данные!$B$2:$B63,Данные!$B63,Данные!D$2:D63,Данные!D63)-(COUNTIFS(Данные!$B$2:$B$75,Данные!$B63,Данные!D$2:D$75,Данные!D63)+1)/2)*$S$240</f>
        <v>4</v>
      </c>
    </row>
    <row r="304" spans="1:19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>
        <f>_xlfn.RANK.AVG(Данные!B64,Данные!$B$2:$B$75,1)</f>
        <v>56.5</v>
      </c>
      <c r="L304" s="5">
        <f>_xlfn.RANK.AVG(Данные!D64,Данные!$D$2:$D$75,1)</f>
        <v>49</v>
      </c>
      <c r="M304" s="5"/>
      <c r="N304" s="5"/>
      <c r="O304" s="5">
        <f>Данные!B64+(-0.07)</f>
        <v>3.93</v>
      </c>
      <c r="P304" s="5">
        <f>Данные!D64</f>
        <v>29</v>
      </c>
      <c r="Q304" s="5"/>
      <c r="S304">
        <f>Данные!$B64+(COUNTIFS(Данные!$B$2:$B64,Данные!$B64,Данные!D$2:D64,Данные!D64)-(COUNTIFS(Данные!$B$2:$B$75,Данные!$B64,Данные!D$2:D$75,Данные!D64)+1)/2)*$S$240</f>
        <v>4.04</v>
      </c>
    </row>
    <row r="305" spans="1:20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>
        <f>_xlfn.RANK.AVG(Данные!B65,Данные!$B$2:$B$75,1)</f>
        <v>56.5</v>
      </c>
      <c r="L305" s="5">
        <f>_xlfn.RANK.AVG(Данные!D65,Данные!$D$2:$D$75,1)</f>
        <v>26</v>
      </c>
      <c r="M305" s="5"/>
      <c r="N305" s="5"/>
      <c r="O305" s="5">
        <f>Данные!B65+(-0.035)</f>
        <v>3.9649999999999999</v>
      </c>
      <c r="P305" s="5">
        <f>Данные!D65</f>
        <v>26</v>
      </c>
      <c r="Q305" s="5"/>
      <c r="S305">
        <f>Данные!$B65+(COUNTIFS(Данные!$B$2:$B65,Данные!$B65,Данные!D$2:D65,Данные!D65)-(COUNTIFS(Данные!$B$2:$B$75,Данные!$B65,Данные!D$2:D$75,Данные!D65)+1)/2)*$S$240</f>
        <v>4.08</v>
      </c>
    </row>
    <row r="306" spans="1:20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>
        <f>_xlfn.RANK.AVG(Данные!B66,Данные!$B$2:$B$75,1)</f>
        <v>56.5</v>
      </c>
      <c r="L306" s="5">
        <f>_xlfn.RANK.AVG(Данные!D66,Данные!$D$2:$D$75,1)</f>
        <v>67.5</v>
      </c>
      <c r="M306" s="5"/>
      <c r="N306" s="5"/>
      <c r="O306" s="5">
        <f>Данные!B66+(-0.07)</f>
        <v>3.93</v>
      </c>
      <c r="P306" s="5">
        <f>Данные!D66</f>
        <v>33</v>
      </c>
      <c r="Q306" s="5"/>
      <c r="S306">
        <f>Данные!$B66+(COUNTIFS(Данные!$B$2:$B66,Данные!$B66,Данные!D$2:D66,Данные!D66)-(COUNTIFS(Данные!$B$2:$B$75,Данные!$B66,Данные!D$2:D$75,Данные!D66)+1)/2)*$S$240</f>
        <v>4</v>
      </c>
    </row>
    <row r="307" spans="1:20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>
        <f>_xlfn.RANK.AVG(Данные!B67,Данные!$B$2:$B$75,1)</f>
        <v>71.5</v>
      </c>
      <c r="L307" s="5">
        <f>_xlfn.RANK.AVG(Данные!D67,Данные!$D$2:$D$75,1)</f>
        <v>9</v>
      </c>
      <c r="M307" s="5"/>
      <c r="N307" s="5"/>
      <c r="O307" s="5">
        <f>Данные!B67+(-0.07)</f>
        <v>4.93</v>
      </c>
      <c r="P307" s="5">
        <f>Данные!D67</f>
        <v>24</v>
      </c>
      <c r="Q307" s="5"/>
      <c r="S307">
        <f>Данные!$B67+(COUNTIFS(Данные!$B$2:$B67,Данные!$B67,Данные!D$2:D67,Данные!D67)-(COUNTIFS(Данные!$B$2:$B$75,Данные!$B67,Данные!D$2:D$75,Данные!D67)+1)/2)*$S$240</f>
        <v>5.04</v>
      </c>
    </row>
    <row r="308" spans="1:20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>
        <f>_xlfn.RANK.AVG(Данные!B68,Данные!$B$2:$B$75,1)</f>
        <v>71.5</v>
      </c>
      <c r="L308" s="5">
        <f>_xlfn.RANK.AVG(Данные!D68,Данные!$D$2:$D$75,1)</f>
        <v>34.5</v>
      </c>
      <c r="M308" s="5"/>
      <c r="N308" s="5"/>
      <c r="O308" s="5">
        <f>Данные!B68+(-0.105)</f>
        <v>4.8949999999999996</v>
      </c>
      <c r="P308" s="5">
        <f>Данные!D68</f>
        <v>27</v>
      </c>
      <c r="Q308" s="5"/>
      <c r="S308">
        <f>Данные!$B68+(COUNTIFS(Данные!$B$2:$B68,Данные!$B68,Данные!D$2:D68,Данные!D68)-(COUNTIFS(Данные!$B$2:$B$75,Данные!$B68,Данные!D$2:D$75,Данные!D68)+1)/2)*$S$240</f>
        <v>5</v>
      </c>
    </row>
    <row r="309" spans="1:20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>
        <f>_xlfn.RANK.AVG(Данные!B69,Данные!$B$2:$B$75,1)</f>
        <v>56.5</v>
      </c>
      <c r="L309" s="5">
        <f>_xlfn.RANK.AVG(Данные!D69,Данные!$D$2:$D$75,1)</f>
        <v>42.5</v>
      </c>
      <c r="M309" s="5"/>
      <c r="N309" s="5"/>
      <c r="O309" s="5">
        <f>Данные!B69+(0)</f>
        <v>4</v>
      </c>
      <c r="P309" s="5">
        <f>Данные!D69</f>
        <v>28</v>
      </c>
      <c r="Q309" s="5"/>
      <c r="S309">
        <f>Данные!$B69+(COUNTIFS(Данные!$B$2:$B69,Данные!$B69,Данные!D$2:D69,Данные!D69)-(COUNTIFS(Данные!$B$2:$B$75,Данные!$B69,Данные!D$2:D$75,Данные!D69)+1)/2)*$S$240</f>
        <v>4.08</v>
      </c>
    </row>
    <row r="310" spans="1:20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>
        <f>_xlfn.RANK.AVG(Данные!B70,Данные!$B$2:$B$75,1)</f>
        <v>56.5</v>
      </c>
      <c r="L310" s="5">
        <f>_xlfn.RANK.AVG(Данные!D70,Данные!$D$2:$D$75,1)</f>
        <v>60.5</v>
      </c>
      <c r="M310" s="5"/>
      <c r="N310" s="5"/>
      <c r="O310" s="5">
        <f>Данные!B70+(-0.07)</f>
        <v>3.93</v>
      </c>
      <c r="P310" s="5">
        <f>Данные!D70</f>
        <v>31</v>
      </c>
      <c r="Q310" s="5"/>
      <c r="S310">
        <f>Данные!$B70+(COUNTIFS(Данные!$B$2:$B70,Данные!$B70,Данные!D$2:D70,Данные!D70)-(COUNTIFS(Данные!$B$2:$B$75,Данные!$B70,Данные!D$2:D$75,Данные!D70)+1)/2)*$S$240</f>
        <v>4.04</v>
      </c>
    </row>
    <row r="311" spans="1:20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>
        <f>_xlfn.RANK.AVG(Данные!B71,Данные!$B$2:$B$75,1)</f>
        <v>71.5</v>
      </c>
      <c r="L311" s="5">
        <f>_xlfn.RANK.AVG(Данные!D71,Данные!$D$2:$D$75,1)</f>
        <v>54.5</v>
      </c>
      <c r="M311" s="5"/>
      <c r="N311" s="5"/>
      <c r="O311" s="5">
        <f>Данные!B71+(-0.105)</f>
        <v>4.8949999999999996</v>
      </c>
      <c r="P311" s="5">
        <f>Данные!D71</f>
        <v>30</v>
      </c>
      <c r="Q311" s="5"/>
      <c r="S311">
        <f>Данные!$B71+(COUNTIFS(Данные!$B$2:$B71,Данные!$B71,Данные!D$2:D71,Данные!D71)-(COUNTIFS(Данные!$B$2:$B$75,Данные!$B71,Данные!D$2:D$75,Данные!D71)+1)/2)*$S$240</f>
        <v>4.96</v>
      </c>
    </row>
    <row r="312" spans="1:20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>
        <f>_xlfn.RANK.AVG(Данные!B72,Данные!$B$2:$B$75,1)</f>
        <v>71.5</v>
      </c>
      <c r="L312" s="5">
        <f>_xlfn.RANK.AVG(Данные!D72,Данные!$D$2:$D$75,1)</f>
        <v>54.5</v>
      </c>
      <c r="M312" s="5"/>
      <c r="N312" s="5"/>
      <c r="O312" s="5">
        <f>Данные!B72+(-0.07)</f>
        <v>4.93</v>
      </c>
      <c r="P312" s="5">
        <f>Данные!D72</f>
        <v>30</v>
      </c>
      <c r="Q312" s="5"/>
      <c r="S312">
        <f>Данные!$B72+(COUNTIFS(Данные!$B$2:$B72,Данные!$B72,Данные!D$2:D72,Данные!D72)-(COUNTIFS(Данные!$B$2:$B$75,Данные!$B72,Данные!D$2:D$75,Данные!D72)+1)/2)*$S$240</f>
        <v>5.04</v>
      </c>
    </row>
    <row r="313" spans="1:20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>
        <f>_xlfn.RANK.AVG(Данные!B73,Данные!$B$2:$B$75,1)</f>
        <v>71.5</v>
      </c>
      <c r="L313" s="5">
        <f>_xlfn.RANK.AVG(Данные!D73,Данные!$D$2:$D$75,1)</f>
        <v>49</v>
      </c>
      <c r="M313" s="5"/>
      <c r="N313" s="5"/>
      <c r="O313" s="5">
        <f>Данные!B73+(-0.105)</f>
        <v>4.8949999999999996</v>
      </c>
      <c r="P313" s="5">
        <f>Данные!D73</f>
        <v>29</v>
      </c>
      <c r="Q313" s="5"/>
      <c r="S313">
        <f>Данные!$B73+(COUNTIFS(Данные!$B$2:$B73,Данные!$B73,Данные!D$2:D73,Данные!D73)-(COUNTIFS(Данные!$B$2:$B$75,Данные!$B73,Данные!D$2:D$75,Данные!D73)+1)/2)*$S$240</f>
        <v>5</v>
      </c>
    </row>
    <row r="314" spans="1:20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>
        <f>_xlfn.RANK.AVG(Данные!B74,Данные!$B$2:$B$75,1)</f>
        <v>56.5</v>
      </c>
      <c r="L314" s="5">
        <f>_xlfn.RANK.AVG(Данные!D74,Данные!$D$2:$D$75,1)</f>
        <v>67.5</v>
      </c>
      <c r="M314" s="5"/>
      <c r="N314" s="5"/>
      <c r="O314" s="5">
        <f>Данные!B74+(-0.035)</f>
        <v>3.9649999999999999</v>
      </c>
      <c r="P314" s="5">
        <f>Данные!D74</f>
        <v>33</v>
      </c>
      <c r="Q314" s="5"/>
      <c r="S314">
        <f>Данные!$B74+(COUNTIFS(Данные!$B$2:$B74,Данные!$B74,Данные!D$2:D74,Данные!D74)-(COUNTIFS(Данные!$B$2:$B$75,Данные!$B74,Данные!D$2:D$75,Данные!D74)+1)/2)*$S$240</f>
        <v>4.08</v>
      </c>
    </row>
    <row r="315" spans="1:20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>
        <f>_xlfn.RANK.AVG(Данные!B75,Данные!$B$2:$B$75,1)</f>
        <v>56.5</v>
      </c>
      <c r="L315" s="5">
        <f>_xlfn.RANK.AVG(Данные!D75,Данные!$D$2:$D$75,1)</f>
        <v>42.5</v>
      </c>
      <c r="M315" s="5"/>
      <c r="N315" s="5"/>
      <c r="O315" s="5">
        <f>Данные!B75+(0.035)</f>
        <v>4.0350000000000001</v>
      </c>
      <c r="P315" s="5">
        <f>Данные!D75</f>
        <v>28</v>
      </c>
      <c r="Q315" s="5"/>
      <c r="S315">
        <f>Данные!$B75+(COUNTIFS(Данные!$B$2:$B75,Данные!$B75,Данные!D$2:D75,Данные!D75)-(COUNTIFS(Данные!$B$2:$B$75,Данные!$B75,Данные!D$2:D$75,Данные!D75)+1)/2)*$S$240</f>
        <v>4.16</v>
      </c>
    </row>
    <row r="316" spans="1:20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</row>
    <row r="317" spans="1:20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</row>
    <row r="318" spans="1:20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</row>
    <row r="319" spans="1:20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</row>
    <row r="320" spans="1:20" x14ac:dyDescent="0.25">
      <c r="A320" s="5"/>
      <c r="B320" s="5"/>
      <c r="C320" s="5"/>
      <c r="D320" s="5" t="s">
        <v>51</v>
      </c>
      <c r="E320" s="5">
        <v>1</v>
      </c>
      <c r="F320" s="5">
        <v>2</v>
      </c>
      <c r="G320" s="5">
        <v>3</v>
      </c>
      <c r="H320" s="5">
        <v>4</v>
      </c>
      <c r="I320" s="5">
        <v>5</v>
      </c>
      <c r="J320" s="5"/>
      <c r="K320" s="5" t="s">
        <v>52</v>
      </c>
      <c r="L320" s="5" t="s">
        <v>53</v>
      </c>
      <c r="M320" s="5" t="s">
        <v>54</v>
      </c>
      <c r="N320" s="5" t="s">
        <v>55</v>
      </c>
      <c r="O320" s="5"/>
      <c r="P320" s="5"/>
      <c r="Q320" s="5"/>
      <c r="S320" t="s">
        <v>56</v>
      </c>
      <c r="T320" t="s">
        <v>57</v>
      </c>
    </row>
    <row r="321" spans="1:20" x14ac:dyDescent="0.25">
      <c r="A321" s="5"/>
      <c r="B321" s="5"/>
      <c r="C321" s="5"/>
      <c r="D321" s="5" t="s">
        <v>58</v>
      </c>
      <c r="E321" s="5">
        <f>COUNT(E242:E248)</f>
        <v>7</v>
      </c>
      <c r="F321" s="5">
        <f>COUNT(F242:F253)</f>
        <v>12</v>
      </c>
      <c r="G321" s="5">
        <f>COUNT(G242:G266)</f>
        <v>25</v>
      </c>
      <c r="H321" s="5">
        <f>COUNT(H242:H265)</f>
        <v>24</v>
      </c>
      <c r="I321" s="5">
        <f>COUNT(I242:I247)</f>
        <v>6</v>
      </c>
      <c r="J321" s="5"/>
      <c r="K321" s="5">
        <f>1+0*4/59</f>
        <v>1</v>
      </c>
      <c r="L321" s="5">
        <f t="shared" ref="L321:L352" si="13">$B$245+$B$246*K321</f>
        <v>26.953524641297566</v>
      </c>
      <c r="M321" s="5">
        <f>L321-$B$253*$B$248*SQRT(1/$B$242+(K321-AVERAGE(Данные!$B$2:$B$75))^2/DEVSQ(Данные!$B$2:$B$75))</f>
        <v>25.114755314380492</v>
      </c>
      <c r="N321" s="5">
        <f>L321+$B$253*$B$248*SQRT(1/$B$242+(K321-AVERAGE(Данные!$B$2:$B$75))^2/DEVSQ(Данные!$B$2:$B$75))</f>
        <v>28.79229396821464</v>
      </c>
      <c r="O321" s="5"/>
      <c r="P321" s="5"/>
      <c r="Q321" s="5"/>
      <c r="S321">
        <f t="shared" ref="S321:S352" si="14">K321</f>
        <v>1</v>
      </c>
      <c r="T321">
        <f t="shared" ref="T321:T352" si="15">M321</f>
        <v>25.114755314380492</v>
      </c>
    </row>
    <row r="322" spans="1:20" x14ac:dyDescent="0.25">
      <c r="A322" s="5"/>
      <c r="B322" s="5"/>
      <c r="C322" s="5"/>
      <c r="D322" s="5" t="s">
        <v>59</v>
      </c>
      <c r="E322" s="9">
        <f>AVERAGE(E242:E248)</f>
        <v>29.142857142857142</v>
      </c>
      <c r="F322" s="9">
        <f>AVERAGE(F242:F253)</f>
        <v>25.333333333333332</v>
      </c>
      <c r="G322" s="9">
        <f>AVERAGE(G242:G266)</f>
        <v>27.64</v>
      </c>
      <c r="H322" s="9">
        <f>AVERAGE(H242:H265)</f>
        <v>29.208333333333332</v>
      </c>
      <c r="I322" s="9">
        <f>AVERAGE(I242:I247)</f>
        <v>27.333333333333332</v>
      </c>
      <c r="J322" s="5"/>
      <c r="K322" s="5">
        <f>1+1*4/59</f>
        <v>1.0677966101694916</v>
      </c>
      <c r="L322" s="5">
        <f t="shared" si="13"/>
        <v>26.98332046903581</v>
      </c>
      <c r="M322" s="5">
        <f>L322-$B$253*$B$248*SQRT(1/$B$242+(K322-AVERAGE(Данные!$B$2:$B$75))^2/DEVSQ(Данные!$B$2:$B$75))</f>
        <v>25.190850878656825</v>
      </c>
      <c r="N322" s="5">
        <f>L322+$B$253*$B$248*SQRT(1/$B$242+(K322-AVERAGE(Данные!$B$2:$B$75))^2/DEVSQ(Данные!$B$2:$B$75))</f>
        <v>28.775790059414796</v>
      </c>
      <c r="O322" s="5"/>
      <c r="P322" s="5"/>
      <c r="Q322" s="5"/>
      <c r="S322">
        <f t="shared" si="14"/>
        <v>1.0677966101694916</v>
      </c>
      <c r="T322">
        <f t="shared" si="15"/>
        <v>25.190850878656825</v>
      </c>
    </row>
    <row r="323" spans="1:20" x14ac:dyDescent="0.25">
      <c r="A323" s="5"/>
      <c r="B323" s="5"/>
      <c r="C323" s="5"/>
      <c r="D323" s="5" t="s">
        <v>60</v>
      </c>
      <c r="E323" s="9">
        <f>_xlfn.QUARTILE.INC(E242:E248,1)</f>
        <v>27</v>
      </c>
      <c r="F323" s="9">
        <f>_xlfn.QUARTILE.INC(F242:F253,1)</f>
        <v>23</v>
      </c>
      <c r="G323" s="9">
        <f>_xlfn.QUARTILE.INC(G242:G266,1)</f>
        <v>26</v>
      </c>
      <c r="H323" s="9">
        <f>_xlfn.QUARTILE.INC(H242:H265,1)</f>
        <v>26</v>
      </c>
      <c r="I323" s="9">
        <f>_xlfn.QUARTILE.INC(I242:I247,1)</f>
        <v>24.75</v>
      </c>
      <c r="J323" s="5"/>
      <c r="K323" s="5">
        <f>1+2*4/59</f>
        <v>1.1355932203389831</v>
      </c>
      <c r="L323" s="5">
        <f t="shared" si="13"/>
        <v>27.013116296774058</v>
      </c>
      <c r="M323" s="5">
        <f>L323-$B$253*$B$248*SQRT(1/$B$242+(K323-AVERAGE(Данные!$B$2:$B$75))^2/DEVSQ(Данные!$B$2:$B$75))</f>
        <v>25.266620831631307</v>
      </c>
      <c r="N323" s="5">
        <f>L323+$B$253*$B$248*SQRT(1/$B$242+(K323-AVERAGE(Данные!$B$2:$B$75))^2/DEVSQ(Данные!$B$2:$B$75))</f>
        <v>28.759611761916808</v>
      </c>
      <c r="O323" s="5"/>
      <c r="P323" s="5"/>
      <c r="Q323" s="5"/>
      <c r="S323">
        <f t="shared" si="14"/>
        <v>1.1355932203389831</v>
      </c>
      <c r="T323">
        <f t="shared" si="15"/>
        <v>25.266620831631307</v>
      </c>
    </row>
    <row r="324" spans="1:20" x14ac:dyDescent="0.25">
      <c r="A324" s="5"/>
      <c r="B324" s="5"/>
      <c r="C324" s="5"/>
      <c r="D324" s="5" t="s">
        <v>61</v>
      </c>
      <c r="E324" s="9">
        <f>MEDIAN(E242:E248)</f>
        <v>30</v>
      </c>
      <c r="F324" s="9">
        <f>MEDIAN(F242:F253)</f>
        <v>24</v>
      </c>
      <c r="G324" s="9">
        <f>MEDIAN(G242:G266)</f>
        <v>27</v>
      </c>
      <c r="H324" s="9">
        <f>MEDIAN(H242:H265)</f>
        <v>28</v>
      </c>
      <c r="I324" s="9">
        <f>MEDIAN(I242:I247)</f>
        <v>28</v>
      </c>
      <c r="J324" s="5"/>
      <c r="K324" s="5">
        <f>1+3*4/59</f>
        <v>1.2033898305084745</v>
      </c>
      <c r="L324" s="5">
        <f t="shared" si="13"/>
        <v>27.042912124512302</v>
      </c>
      <c r="M324" s="5">
        <f>L324-$B$253*$B$248*SQRT(1/$B$242+(K324-AVERAGE(Данные!$B$2:$B$75))^2/DEVSQ(Данные!$B$2:$B$75))</f>
        <v>25.342038769555082</v>
      </c>
      <c r="N324" s="5">
        <f>L324+$B$253*$B$248*SQRT(1/$B$242+(K324-AVERAGE(Данные!$B$2:$B$75))^2/DEVSQ(Данные!$B$2:$B$75))</f>
        <v>28.743785479469523</v>
      </c>
      <c r="O324" s="5"/>
      <c r="P324" s="5"/>
      <c r="Q324" s="5"/>
      <c r="S324">
        <f t="shared" si="14"/>
        <v>1.2033898305084745</v>
      </c>
      <c r="T324">
        <f t="shared" si="15"/>
        <v>25.342038769555082</v>
      </c>
    </row>
    <row r="325" spans="1:20" x14ac:dyDescent="0.25">
      <c r="A325" s="5"/>
      <c r="B325" s="5"/>
      <c r="C325" s="5"/>
      <c r="D325" s="5" t="s">
        <v>62</v>
      </c>
      <c r="E325" s="9">
        <f>_xlfn.QUARTILE.INC(E242:E248,3)</f>
        <v>30.5</v>
      </c>
      <c r="F325" s="9">
        <f>_xlfn.QUARTILE.INC(F242:F253,3)</f>
        <v>26.5</v>
      </c>
      <c r="G325" s="9">
        <f>_xlfn.QUARTILE.INC(G242:G266,3)</f>
        <v>29</v>
      </c>
      <c r="H325" s="9">
        <f>_xlfn.QUARTILE.INC(H242:H265,3)</f>
        <v>32</v>
      </c>
      <c r="I325" s="9">
        <f>_xlfn.QUARTILE.INC(I242:I247,3)</f>
        <v>29.75</v>
      </c>
      <c r="J325" s="5"/>
      <c r="K325" s="5">
        <f>1+4*4/59</f>
        <v>1.271186440677966</v>
      </c>
      <c r="L325" s="5">
        <f t="shared" si="13"/>
        <v>27.072707952250546</v>
      </c>
      <c r="M325" s="5">
        <f>L325-$B$253*$B$248*SQRT(1/$B$242+(K325-AVERAGE(Данные!$B$2:$B$75))^2/DEVSQ(Данные!$B$2:$B$75))</f>
        <v>25.417075592108013</v>
      </c>
      <c r="N325" s="5">
        <f>L325+$B$253*$B$248*SQRT(1/$B$242+(K325-AVERAGE(Данные!$B$2:$B$75))^2/DEVSQ(Данные!$B$2:$B$75))</f>
        <v>28.72834031239308</v>
      </c>
      <c r="O325" s="5"/>
      <c r="P325" s="5"/>
      <c r="Q325" s="5"/>
      <c r="S325">
        <f t="shared" si="14"/>
        <v>1.271186440677966</v>
      </c>
      <c r="T325">
        <f t="shared" si="15"/>
        <v>25.417075592108013</v>
      </c>
    </row>
    <row r="326" spans="1:20" x14ac:dyDescent="0.25">
      <c r="A326" s="5"/>
      <c r="B326" s="5"/>
      <c r="C326" s="5"/>
      <c r="D326" s="5" t="s">
        <v>63</v>
      </c>
      <c r="E326" s="9">
        <f>E325-E323</f>
        <v>3.5</v>
      </c>
      <c r="F326" s="9">
        <f>F325-F323</f>
        <v>3.5</v>
      </c>
      <c r="G326" s="9">
        <f>G325-G323</f>
        <v>3</v>
      </c>
      <c r="H326" s="9">
        <f>H325-H323</f>
        <v>6</v>
      </c>
      <c r="I326" s="9">
        <f>I325-I323</f>
        <v>5</v>
      </c>
      <c r="J326" s="5"/>
      <c r="K326" s="5">
        <f>1+5*4/59</f>
        <v>1.3389830508474576</v>
      </c>
      <c r="L326" s="5">
        <f t="shared" si="13"/>
        <v>27.10250377998879</v>
      </c>
      <c r="M326" s="5">
        <f>L326-$B$253*$B$248*SQRT(1/$B$242+(K326-AVERAGE(Данные!$B$2:$B$75))^2/DEVSQ(Данные!$B$2:$B$75))</f>
        <v>25.491699186995806</v>
      </c>
      <c r="N326" s="5">
        <f>L326+$B$253*$B$248*SQRT(1/$B$242+(K326-AVERAGE(Данные!$B$2:$B$75))^2/DEVSQ(Данные!$B$2:$B$75))</f>
        <v>28.713308372981775</v>
      </c>
      <c r="O326" s="5"/>
      <c r="P326" s="5"/>
      <c r="Q326" s="5"/>
      <c r="S326">
        <f t="shared" si="14"/>
        <v>1.3389830508474576</v>
      </c>
      <c r="T326">
        <f t="shared" si="15"/>
        <v>25.491699186995806</v>
      </c>
    </row>
    <row r="327" spans="1:20" x14ac:dyDescent="0.25">
      <c r="A327" s="5"/>
      <c r="B327" s="5"/>
      <c r="C327" s="5"/>
      <c r="D327" s="5" t="s">
        <v>64</v>
      </c>
      <c r="E327" s="9">
        <f>E323-1.5*E326</f>
        <v>21.75</v>
      </c>
      <c r="F327" s="9">
        <f>F323-1.5*F326</f>
        <v>17.75</v>
      </c>
      <c r="G327" s="9">
        <f>G323-1.5*G326</f>
        <v>21.5</v>
      </c>
      <c r="H327" s="9">
        <f>H323-1.5*H326</f>
        <v>17</v>
      </c>
      <c r="I327" s="9">
        <f>I323-1.5*I326</f>
        <v>17.25</v>
      </c>
      <c r="J327" s="5"/>
      <c r="K327" s="5">
        <f>1+6*4/59</f>
        <v>1.4067796610169492</v>
      </c>
      <c r="L327" s="5">
        <f t="shared" si="13"/>
        <v>27.132299607727038</v>
      </c>
      <c r="M327" s="5">
        <f>L327-$B$253*$B$248*SQRT(1/$B$242+(K327-AVERAGE(Данные!$B$2:$B$75))^2/DEVSQ(Данные!$B$2:$B$75))</f>
        <v>25.56587407672599</v>
      </c>
      <c r="N327" s="5">
        <f>L327+$B$253*$B$248*SQRT(1/$B$242+(K327-AVERAGE(Данные!$B$2:$B$75))^2/DEVSQ(Данные!$B$2:$B$75))</f>
        <v>28.698725138728086</v>
      </c>
      <c r="O327" s="5"/>
      <c r="P327" s="5"/>
      <c r="Q327" s="5"/>
      <c r="S327">
        <f t="shared" si="14"/>
        <v>1.4067796610169492</v>
      </c>
      <c r="T327">
        <f t="shared" si="15"/>
        <v>25.56587407672599</v>
      </c>
    </row>
    <row r="328" spans="1:20" x14ac:dyDescent="0.25">
      <c r="A328" s="5"/>
      <c r="B328" s="5"/>
      <c r="C328" s="5"/>
      <c r="D328" s="5" t="s">
        <v>65</v>
      </c>
      <c r="E328" s="9">
        <f>E325+1.5*E326</f>
        <v>35.75</v>
      </c>
      <c r="F328" s="9">
        <f>F325+1.5*F326</f>
        <v>31.75</v>
      </c>
      <c r="G328" s="9">
        <f>G325+1.5*G326</f>
        <v>33.5</v>
      </c>
      <c r="H328" s="9">
        <f>H325+1.5*H326</f>
        <v>41</v>
      </c>
      <c r="I328" s="9">
        <f>I325+1.5*I326</f>
        <v>37.25</v>
      </c>
      <c r="J328" s="5"/>
      <c r="K328" s="5">
        <f>1+7*4/59</f>
        <v>1.4745762711864407</v>
      </c>
      <c r="L328" s="5">
        <f t="shared" si="13"/>
        <v>27.162095435465282</v>
      </c>
      <c r="M328" s="5">
        <f>L328-$B$253*$B$248*SQRT(1/$B$242+(K328-AVERAGE(Данные!$B$2:$B$75))^2/DEVSQ(Данные!$B$2:$B$75))</f>
        <v>25.639561024016729</v>
      </c>
      <c r="N328" s="5">
        <f>L328+$B$253*$B$248*SQRT(1/$B$242+(K328-AVERAGE(Данные!$B$2:$B$75))^2/DEVSQ(Данные!$B$2:$B$75))</f>
        <v>28.684629846913836</v>
      </c>
      <c r="O328" s="5"/>
      <c r="P328" s="5"/>
      <c r="Q328" s="5"/>
      <c r="S328">
        <f t="shared" si="14"/>
        <v>1.4745762711864407</v>
      </c>
      <c r="T328">
        <f t="shared" si="15"/>
        <v>25.639561024016729</v>
      </c>
    </row>
    <row r="329" spans="1:20" x14ac:dyDescent="0.25">
      <c r="A329" s="5"/>
      <c r="B329" s="5"/>
      <c r="C329" s="5"/>
      <c r="D329" s="5" t="s">
        <v>66</v>
      </c>
      <c r="E329" s="9">
        <f>_xlfn.MINIFS(E242:E248,E242:E248,"&gt;="&amp;E327)</f>
        <v>24</v>
      </c>
      <c r="F329" s="9">
        <f>_xlfn.MINIFS(F242:F253,F242:F253,"&gt;="&amp;F327)</f>
        <v>20</v>
      </c>
      <c r="G329" s="9">
        <f>_xlfn.MINIFS(G242:G266,G242:G266,"&gt;="&amp;G327)</f>
        <v>24</v>
      </c>
      <c r="H329" s="9">
        <f>_xlfn.MINIFS(H242:H265,H242:H265,"&gt;="&amp;H327)</f>
        <v>24</v>
      </c>
      <c r="I329" s="9">
        <f>_xlfn.MINIFS(I242:I247,I242:I247,"&gt;="&amp;I327)</f>
        <v>24</v>
      </c>
      <c r="J329" s="5"/>
      <c r="K329" s="5">
        <f>1+8*4/59</f>
        <v>1.5423728813559321</v>
      </c>
      <c r="L329" s="5">
        <f t="shared" si="13"/>
        <v>27.191891263203527</v>
      </c>
      <c r="M329" s="5">
        <f>L329-$B$253*$B$248*SQRT(1/$B$242+(K329-AVERAGE(Данные!$B$2:$B$75))^2/DEVSQ(Данные!$B$2:$B$75))</f>
        <v>25.712716592508237</v>
      </c>
      <c r="N329" s="5">
        <f>L329+$B$253*$B$248*SQRT(1/$B$242+(K329-AVERAGE(Данные!$B$2:$B$75))^2/DEVSQ(Данные!$B$2:$B$75))</f>
        <v>28.671065933898817</v>
      </c>
      <c r="O329" s="5"/>
      <c r="P329" s="5"/>
      <c r="Q329" s="5"/>
      <c r="S329">
        <f t="shared" si="14"/>
        <v>1.5423728813559321</v>
      </c>
      <c r="T329">
        <f t="shared" si="15"/>
        <v>25.712716592508237</v>
      </c>
    </row>
    <row r="330" spans="1:20" x14ac:dyDescent="0.25">
      <c r="A330" s="5"/>
      <c r="B330" s="5"/>
      <c r="C330" s="5"/>
      <c r="D330" s="5" t="s">
        <v>67</v>
      </c>
      <c r="E330" s="9">
        <f>_xlfn.MAXIFS(E242:E248,E242:E248,"&lt;="&amp;E328)</f>
        <v>35</v>
      </c>
      <c r="F330" s="9">
        <f>_xlfn.MAXIFS(F242:F253,F242:F253,"&lt;="&amp;F328)</f>
        <v>31</v>
      </c>
      <c r="G330" s="9">
        <f>_xlfn.MAXIFS(G242:G266,G242:G266,"&lt;="&amp;G328)</f>
        <v>31</v>
      </c>
      <c r="H330" s="9">
        <f>_xlfn.MAXIFS(H242:H265,H242:H265,"&lt;="&amp;H328)</f>
        <v>39</v>
      </c>
      <c r="I330" s="9">
        <f>_xlfn.MAXIFS(I242:I247,I242:I247,"&lt;="&amp;I328)</f>
        <v>30</v>
      </c>
      <c r="J330" s="5"/>
      <c r="K330" s="5">
        <f>1+9*4/59</f>
        <v>1.6101694915254239</v>
      </c>
      <c r="L330" s="5">
        <f t="shared" si="13"/>
        <v>27.221687090941771</v>
      </c>
      <c r="M330" s="5">
        <f>L330-$B$253*$B$248*SQRT(1/$B$242+(K330-AVERAGE(Данные!$B$2:$B$75))^2/DEVSQ(Данные!$B$2:$B$75))</f>
        <v>25.785292659973553</v>
      </c>
      <c r="N330" s="5">
        <f>L330+$B$253*$B$248*SQRT(1/$B$242+(K330-AVERAGE(Данные!$B$2:$B$75))^2/DEVSQ(Данные!$B$2:$B$75))</f>
        <v>28.658081521909988</v>
      </c>
      <c r="O330" s="5"/>
      <c r="P330" s="5"/>
      <c r="Q330" s="5"/>
      <c r="S330">
        <f t="shared" si="14"/>
        <v>1.6101694915254239</v>
      </c>
      <c r="T330">
        <f t="shared" si="15"/>
        <v>25.785292659973553</v>
      </c>
    </row>
    <row r="331" spans="1:20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>
        <f>1+10*4/59</f>
        <v>1.6779661016949152</v>
      </c>
      <c r="L331" s="5">
        <f t="shared" si="13"/>
        <v>27.251482918680018</v>
      </c>
      <c r="M331" s="5">
        <f>L331-$B$253*$B$248*SQRT(1/$B$242+(K331-AVERAGE(Данные!$B$2:$B$75))^2/DEVSQ(Данные!$B$2:$B$75))</f>
        <v>25.857235882206581</v>
      </c>
      <c r="N331" s="5">
        <f>L331+$B$253*$B$248*SQRT(1/$B$242+(K331-AVERAGE(Данные!$B$2:$B$75))^2/DEVSQ(Данные!$B$2:$B$75))</f>
        <v>28.645729955153456</v>
      </c>
      <c r="O331" s="5"/>
      <c r="P331" s="5"/>
      <c r="Q331" s="5"/>
      <c r="S331">
        <f t="shared" si="14"/>
        <v>1.6779661016949152</v>
      </c>
      <c r="T331">
        <f t="shared" si="15"/>
        <v>25.857235882206581</v>
      </c>
    </row>
    <row r="332" spans="1:20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>
        <f>1+11*4/59</f>
        <v>1.7457627118644068</v>
      </c>
      <c r="L332" s="5">
        <f t="shared" si="13"/>
        <v>27.281278746418263</v>
      </c>
      <c r="M332" s="5">
        <f>L332-$B$253*$B$248*SQRT(1/$B$242+(K332-AVERAGE(Данные!$B$2:$B$75))^2/DEVSQ(Данные!$B$2:$B$75))</f>
        <v>25.928487107391074</v>
      </c>
      <c r="N332" s="5">
        <f>L332+$B$253*$B$248*SQRT(1/$B$242+(K332-AVERAGE(Данные!$B$2:$B$75))^2/DEVSQ(Данные!$B$2:$B$75))</f>
        <v>28.634070385445451</v>
      </c>
      <c r="O332" s="5"/>
      <c r="P332" s="5"/>
      <c r="Q332" s="5"/>
      <c r="S332">
        <f t="shared" si="14"/>
        <v>1.7457627118644068</v>
      </c>
      <c r="T332">
        <f t="shared" si="15"/>
        <v>25.928487107391074</v>
      </c>
    </row>
    <row r="333" spans="1:20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>
        <f>1+12*4/59</f>
        <v>1.8135593220338984</v>
      </c>
      <c r="L333" s="5">
        <f t="shared" si="13"/>
        <v>27.311074574156507</v>
      </c>
      <c r="M333" s="5">
        <f>L333-$B$253*$B$248*SQRT(1/$B$242+(K333-AVERAGE(Данные!$B$2:$B$75))^2/DEVSQ(Данные!$B$2:$B$75))</f>
        <v>25.99898074327503</v>
      </c>
      <c r="N333" s="5">
        <f>L333+$B$253*$B$248*SQRT(1/$B$242+(K333-AVERAGE(Данные!$B$2:$B$75))^2/DEVSQ(Данные!$B$2:$B$75))</f>
        <v>28.623168405037983</v>
      </c>
      <c r="O333" s="5"/>
      <c r="P333" s="5"/>
      <c r="Q333" s="5"/>
      <c r="S333">
        <f t="shared" si="14"/>
        <v>1.8135593220338984</v>
      </c>
      <c r="T333">
        <f t="shared" si="15"/>
        <v>25.99898074327503</v>
      </c>
    </row>
    <row r="334" spans="1:20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>
        <f>1+13*4/59</f>
        <v>1.8813559322033897</v>
      </c>
      <c r="L334" s="5">
        <f t="shared" si="13"/>
        <v>27.340870401894751</v>
      </c>
      <c r="M334" s="5">
        <f>L334-$B$253*$B$248*SQRT(1/$B$242+(K334-AVERAGE(Данные!$B$2:$B$75))^2/DEVSQ(Данные!$B$2:$B$75))</f>
        <v>26.068644083207289</v>
      </c>
      <c r="N334" s="5">
        <f>L334+$B$253*$B$248*SQRT(1/$B$242+(K334-AVERAGE(Данные!$B$2:$B$75))^2/DEVSQ(Данные!$B$2:$B$75))</f>
        <v>28.613096720582213</v>
      </c>
      <c r="O334" s="5"/>
      <c r="P334" s="5"/>
      <c r="Q334" s="5"/>
      <c r="S334">
        <f t="shared" si="14"/>
        <v>1.8813559322033897</v>
      </c>
      <c r="T334">
        <f t="shared" si="15"/>
        <v>26.068644083207289</v>
      </c>
    </row>
    <row r="335" spans="1:20" x14ac:dyDescent="0.25">
      <c r="A335" s="5"/>
      <c r="B335" s="5" t="str">
        <f>Спирман_графики!D39&amp;CHAR(10)&amp;Спирман_графики!B41</f>
        <v>К2 в зависимости от Л1
ρ = 0,183; p = 0,1195; n = 74</v>
      </c>
      <c r="C335" s="5"/>
      <c r="D335" s="5"/>
      <c r="E335" s="5"/>
      <c r="F335" s="5"/>
      <c r="G335" s="5"/>
      <c r="H335" s="5"/>
      <c r="I335" s="5"/>
      <c r="J335" s="5"/>
      <c r="K335" s="5">
        <f>1+14*4/59</f>
        <v>1.9491525423728815</v>
      </c>
      <c r="L335" s="5">
        <f t="shared" si="13"/>
        <v>27.370666229632999</v>
      </c>
      <c r="M335" s="5">
        <f>L335-$B$253*$B$248*SQRT(1/$B$242+(K335-AVERAGE(Данные!$B$2:$B$75))^2/DEVSQ(Данные!$B$2:$B$75))</f>
        <v>26.137396602425174</v>
      </c>
      <c r="N335" s="5">
        <f>L335+$B$253*$B$248*SQRT(1/$B$242+(K335-AVERAGE(Данные!$B$2:$B$75))^2/DEVSQ(Данные!$B$2:$B$75))</f>
        <v>28.603935856840824</v>
      </c>
      <c r="O335" s="5"/>
      <c r="P335" s="5"/>
      <c r="Q335" s="5"/>
      <c r="S335">
        <f t="shared" si="14"/>
        <v>1.9491525423728815</v>
      </c>
      <c r="T335">
        <f t="shared" si="15"/>
        <v>26.137396602425174</v>
      </c>
    </row>
    <row r="336" spans="1:20" x14ac:dyDescent="0.25">
      <c r="A336" s="5"/>
      <c r="B336" s="5" t="str">
        <f>Регрессия_графики!D39&amp;CHAR(10)&amp;Регрессия_графики!B41</f>
        <v>Линейная регрессия К2 по Л1
ŷ = 26,514 + 0,439x; R² = 0,018; p = 0,2579; n = 74</v>
      </c>
      <c r="C336" s="5"/>
      <c r="D336" s="5"/>
      <c r="E336" s="5"/>
      <c r="F336" s="5"/>
      <c r="G336" s="5"/>
      <c r="H336" s="5"/>
      <c r="I336" s="5"/>
      <c r="J336" s="5"/>
      <c r="K336" s="5">
        <f>1+15*4/59</f>
        <v>2.0169491525423728</v>
      </c>
      <c r="L336" s="5">
        <f t="shared" si="13"/>
        <v>27.400462057371243</v>
      </c>
      <c r="M336" s="5">
        <f>L336-$B$253*$B$248*SQRT(1/$B$242+(K336-AVERAGE(Данные!$B$2:$B$75))^2/DEVSQ(Данные!$B$2:$B$75))</f>
        <v>26.205149243362264</v>
      </c>
      <c r="N336" s="5">
        <f>L336+$B$253*$B$248*SQRT(1/$B$242+(K336-AVERAGE(Данные!$B$2:$B$75))^2/DEVSQ(Данные!$B$2:$B$75))</f>
        <v>28.595774871380222</v>
      </c>
      <c r="O336" s="5"/>
      <c r="P336" s="5"/>
      <c r="Q336" s="5"/>
      <c r="S336">
        <f t="shared" si="14"/>
        <v>2.0169491525423728</v>
      </c>
      <c r="T336">
        <f t="shared" si="15"/>
        <v>26.205149243362264</v>
      </c>
    </row>
    <row r="337" spans="1:22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>
        <f>1+16*4/59</f>
        <v>2.0847457627118642</v>
      </c>
      <c r="L337" s="5">
        <f t="shared" si="13"/>
        <v>27.430257885109487</v>
      </c>
      <c r="M337" s="5">
        <f>L337-$B$253*$B$248*SQRT(1/$B$242+(K337-AVERAGE(Данные!$B$2:$B$75))^2/DEVSQ(Данные!$B$2:$B$75))</f>
        <v>26.271803718651764</v>
      </c>
      <c r="N337" s="5">
        <f>L337+$B$253*$B$248*SQRT(1/$B$242+(K337-AVERAGE(Данные!$B$2:$B$75))^2/DEVSQ(Данные!$B$2:$B$75))</f>
        <v>28.58871205156721</v>
      </c>
      <c r="O337" s="5"/>
      <c r="P337" s="5"/>
      <c r="Q337" s="5"/>
      <c r="S337">
        <f t="shared" si="14"/>
        <v>2.0847457627118642</v>
      </c>
      <c r="T337">
        <f t="shared" si="15"/>
        <v>26.271803718651764</v>
      </c>
    </row>
    <row r="338" spans="1:22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>
        <f>1+17*4/59</f>
        <v>2.152542372881356</v>
      </c>
      <c r="L338" s="5">
        <f t="shared" si="13"/>
        <v>27.460053712847731</v>
      </c>
      <c r="M338" s="5">
        <f>L338-$B$253*$B$248*SQRT(1/$B$242+(K338-AVERAGE(Данные!$B$2:$B$75))^2/DEVSQ(Данные!$B$2:$B$75))</f>
        <v>26.33725187336718</v>
      </c>
      <c r="N338" s="5">
        <f>L338+$B$253*$B$248*SQRT(1/$B$242+(K338-AVERAGE(Данные!$B$2:$B$75))^2/DEVSQ(Данные!$B$2:$B$75))</f>
        <v>28.582855552328283</v>
      </c>
      <c r="O338" s="5"/>
      <c r="P338" s="5"/>
      <c r="Q338" s="5"/>
      <c r="S338">
        <f t="shared" si="14"/>
        <v>2.152542372881356</v>
      </c>
      <c r="T338">
        <f t="shared" si="15"/>
        <v>26.33725187336718</v>
      </c>
    </row>
    <row r="339" spans="1:22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>
        <f>1+18*4/59</f>
        <v>2.2203389830508478</v>
      </c>
      <c r="L339" s="5">
        <f t="shared" si="13"/>
        <v>27.489849540585979</v>
      </c>
      <c r="M339" s="5">
        <f>L339-$B$253*$B$248*SQRT(1/$B$242+(K339-AVERAGE(Данные!$B$2:$B$75))^2/DEVSQ(Данные!$B$2:$B$75))</f>
        <v>26.401375164127341</v>
      </c>
      <c r="N339" s="5">
        <f>L339+$B$253*$B$248*SQRT(1/$B$242+(K339-AVERAGE(Данные!$B$2:$B$75))^2/DEVSQ(Данные!$B$2:$B$75))</f>
        <v>28.578323917044617</v>
      </c>
      <c r="O339" s="5"/>
      <c r="P339" s="5"/>
      <c r="Q339" s="5"/>
      <c r="S339">
        <f t="shared" si="14"/>
        <v>2.2203389830508478</v>
      </c>
      <c r="T339">
        <f t="shared" si="15"/>
        <v>26.401375164127341</v>
      </c>
      <c r="U339" t="s">
        <v>68</v>
      </c>
    </row>
    <row r="340" spans="1:22" x14ac:dyDescent="0.25">
      <c r="A340" s="5">
        <v>0.75</v>
      </c>
      <c r="B340" s="5">
        <f>E323</f>
        <v>27</v>
      </c>
      <c r="C340" s="5"/>
      <c r="D340" s="5"/>
      <c r="E340" s="5"/>
      <c r="F340" s="5"/>
      <c r="G340" s="5"/>
      <c r="H340" s="5"/>
      <c r="I340" s="5"/>
      <c r="J340" s="5"/>
      <c r="K340" s="5">
        <f>1+19*4/59</f>
        <v>2.2881355932203391</v>
      </c>
      <c r="L340" s="5">
        <f t="shared" si="13"/>
        <v>27.519645368324223</v>
      </c>
      <c r="M340" s="5">
        <f>L340-$B$253*$B$248*SQRT(1/$B$242+(K340-AVERAGE(Данные!$B$2:$B$75))^2/DEVSQ(Данные!$B$2:$B$75))</f>
        <v>26.464044331861302</v>
      </c>
      <c r="N340" s="5">
        <f>L340+$B$253*$B$248*SQRT(1/$B$242+(K340-AVERAGE(Данные!$B$2:$B$75))^2/DEVSQ(Данные!$B$2:$B$75))</f>
        <v>28.575246404787144</v>
      </c>
      <c r="O340" s="5"/>
      <c r="P340" s="5"/>
      <c r="Q340" s="5"/>
      <c r="S340">
        <f t="shared" si="14"/>
        <v>2.2881355932203391</v>
      </c>
      <c r="T340">
        <f t="shared" si="15"/>
        <v>26.464044331861302</v>
      </c>
      <c r="U340">
        <f>A346</f>
        <v>0.75</v>
      </c>
      <c r="V340">
        <f>B346</f>
        <v>30</v>
      </c>
    </row>
    <row r="341" spans="1:22" x14ac:dyDescent="0.25">
      <c r="A341" s="5">
        <v>1.25</v>
      </c>
      <c r="B341" s="5">
        <f>E323</f>
        <v>27</v>
      </c>
      <c r="C341" s="5"/>
      <c r="D341" s="5"/>
      <c r="E341" s="5"/>
      <c r="F341" s="5"/>
      <c r="G341" s="5"/>
      <c r="H341" s="5"/>
      <c r="I341" s="5"/>
      <c r="J341" s="5"/>
      <c r="K341" s="5">
        <f>1+20*4/59</f>
        <v>2.3559322033898304</v>
      </c>
      <c r="L341" s="5">
        <f t="shared" si="13"/>
        <v>27.549441196062467</v>
      </c>
      <c r="M341" s="5">
        <f>L341-$B$253*$B$248*SQRT(1/$B$242+(K341-AVERAGE(Данные!$B$2:$B$75))^2/DEVSQ(Данные!$B$2:$B$75))</f>
        <v>26.52511936642853</v>
      </c>
      <c r="N341" s="5">
        <f>L341+$B$253*$B$248*SQRT(1/$B$242+(K341-AVERAGE(Данные!$B$2:$B$75))^2/DEVSQ(Данные!$B$2:$B$75))</f>
        <v>28.573763025696405</v>
      </c>
      <c r="O341" s="5"/>
      <c r="P341" s="5"/>
      <c r="Q341" s="5"/>
      <c r="S341">
        <f t="shared" si="14"/>
        <v>2.3559322033898304</v>
      </c>
      <c r="T341">
        <f t="shared" si="15"/>
        <v>26.52511936642853</v>
      </c>
      <c r="U341">
        <f>A347</f>
        <v>1.25</v>
      </c>
      <c r="V341">
        <f>B347</f>
        <v>30</v>
      </c>
    </row>
    <row r="342" spans="1:22" x14ac:dyDescent="0.25">
      <c r="A342" s="5">
        <v>1.25</v>
      </c>
      <c r="B342" s="5">
        <f>E325</f>
        <v>30.5</v>
      </c>
      <c r="C342" s="5"/>
      <c r="D342" s="5"/>
      <c r="E342" s="5"/>
      <c r="F342" s="5"/>
      <c r="G342" s="5"/>
      <c r="H342" s="5"/>
      <c r="I342" s="5"/>
      <c r="J342" s="5"/>
      <c r="K342" s="5">
        <f>1+21*4/59</f>
        <v>2.4237288135593218</v>
      </c>
      <c r="L342" s="5">
        <f t="shared" si="13"/>
        <v>27.579237023800712</v>
      </c>
      <c r="M342" s="5">
        <f>L342-$B$253*$B$248*SQRT(1/$B$242+(K342-AVERAGE(Данные!$B$2:$B$75))^2/DEVSQ(Данные!$B$2:$B$75))</f>
        <v>26.584449882922776</v>
      </c>
      <c r="N342" s="5">
        <f>L342+$B$253*$B$248*SQRT(1/$B$242+(K342-AVERAGE(Данные!$B$2:$B$75))^2/DEVSQ(Данные!$B$2:$B$75))</f>
        <v>28.574024164678647</v>
      </c>
      <c r="O342" s="5"/>
      <c r="P342" s="5"/>
      <c r="Q342" s="5"/>
      <c r="S342">
        <f t="shared" si="14"/>
        <v>2.4237288135593218</v>
      </c>
      <c r="T342">
        <f t="shared" si="15"/>
        <v>26.584449882922776</v>
      </c>
    </row>
    <row r="343" spans="1:22" x14ac:dyDescent="0.25">
      <c r="A343" s="5">
        <v>0.75</v>
      </c>
      <c r="B343" s="5">
        <f>E325</f>
        <v>30.5</v>
      </c>
      <c r="C343" s="5"/>
      <c r="D343" s="5"/>
      <c r="E343" s="5"/>
      <c r="F343" s="5"/>
      <c r="G343" s="5"/>
      <c r="H343" s="5"/>
      <c r="I343" s="5"/>
      <c r="J343" s="5"/>
      <c r="K343" s="5">
        <f>1+22*4/59</f>
        <v>2.4915254237288136</v>
      </c>
      <c r="L343" s="5">
        <f t="shared" si="13"/>
        <v>27.609032851538956</v>
      </c>
      <c r="M343" s="5">
        <f>L343-$B$253*$B$248*SQRT(1/$B$242+(K343-AVERAGE(Данные!$B$2:$B$75))^2/DEVSQ(Данные!$B$2:$B$75))</f>
        <v>26.641876047728925</v>
      </c>
      <c r="N343" s="5">
        <f>L343+$B$253*$B$248*SQRT(1/$B$242+(K343-AVERAGE(Данные!$B$2:$B$75))^2/DEVSQ(Данные!$B$2:$B$75))</f>
        <v>28.576189655348987</v>
      </c>
      <c r="O343" s="5"/>
      <c r="P343" s="5"/>
      <c r="Q343" s="5"/>
      <c r="S343">
        <f t="shared" si="14"/>
        <v>2.4915254237288136</v>
      </c>
      <c r="T343">
        <f t="shared" si="15"/>
        <v>26.641876047728925</v>
      </c>
      <c r="U343">
        <f>A365</f>
        <v>1.75</v>
      </c>
      <c r="V343">
        <f>B365</f>
        <v>24</v>
      </c>
    </row>
    <row r="344" spans="1:22" x14ac:dyDescent="0.25">
      <c r="A344" s="5">
        <v>0.75</v>
      </c>
      <c r="B344" s="5">
        <f>E323</f>
        <v>27</v>
      </c>
      <c r="C344" s="5"/>
      <c r="D344" s="5"/>
      <c r="E344" s="5"/>
      <c r="F344" s="5"/>
      <c r="G344" s="5"/>
      <c r="H344" s="5"/>
      <c r="I344" s="5"/>
      <c r="J344" s="5"/>
      <c r="K344" s="5">
        <f>1+23*4/59</f>
        <v>2.5593220338983054</v>
      </c>
      <c r="L344" s="5">
        <f t="shared" si="13"/>
        <v>27.638828679277204</v>
      </c>
      <c r="M344" s="5">
        <f>L344-$B$253*$B$248*SQRT(1/$B$242+(K344-AVERAGE(Данные!$B$2:$B$75))^2/DEVSQ(Данные!$B$2:$B$75))</f>
        <v>26.697230201599783</v>
      </c>
      <c r="N344" s="5">
        <f>L344+$B$253*$B$248*SQRT(1/$B$242+(K344-AVERAGE(Данные!$B$2:$B$75))^2/DEVSQ(Данные!$B$2:$B$75))</f>
        <v>28.580427156954624</v>
      </c>
      <c r="O344" s="5"/>
      <c r="P344" s="5"/>
      <c r="Q344" s="5"/>
      <c r="S344">
        <f t="shared" si="14"/>
        <v>2.5593220338983054</v>
      </c>
      <c r="T344">
        <f t="shared" si="15"/>
        <v>26.697230201599783</v>
      </c>
      <c r="U344">
        <f>A366</f>
        <v>2.25</v>
      </c>
      <c r="V344">
        <f>B366</f>
        <v>24</v>
      </c>
    </row>
    <row r="345" spans="1:22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>
        <f>1+24*4/59</f>
        <v>2.6271186440677967</v>
      </c>
      <c r="L345" s="5">
        <f t="shared" si="13"/>
        <v>27.668624507015448</v>
      </c>
      <c r="M345" s="5">
        <f>L345-$B$253*$B$248*SQRT(1/$B$242+(K345-AVERAGE(Данные!$B$2:$B$75))^2/DEVSQ(Данные!$B$2:$B$75))</f>
        <v>26.750339319461336</v>
      </c>
      <c r="N345" s="5">
        <f>L345+$B$253*$B$248*SQRT(1/$B$242+(K345-AVERAGE(Данные!$B$2:$B$75))^2/DEVSQ(Данные!$B$2:$B$75))</f>
        <v>28.58690969456956</v>
      </c>
      <c r="O345" s="5"/>
      <c r="P345" s="5"/>
      <c r="Q345" s="5"/>
      <c r="S345">
        <f t="shared" si="14"/>
        <v>2.6271186440677967</v>
      </c>
      <c r="T345">
        <f t="shared" si="15"/>
        <v>26.750339319461336</v>
      </c>
    </row>
    <row r="346" spans="1:22" x14ac:dyDescent="0.25">
      <c r="A346" s="5">
        <v>0.75</v>
      </c>
      <c r="B346" s="5">
        <f>E324</f>
        <v>30</v>
      </c>
      <c r="C346" s="5"/>
      <c r="D346" s="5"/>
      <c r="E346" s="5"/>
      <c r="F346" s="5"/>
      <c r="G346" s="5"/>
      <c r="H346" s="5"/>
      <c r="I346" s="5"/>
      <c r="J346" s="5"/>
      <c r="K346" s="5">
        <f>1+25*4/59</f>
        <v>2.6949152542372881</v>
      </c>
      <c r="L346" s="5">
        <f t="shared" si="13"/>
        <v>27.698420334753692</v>
      </c>
      <c r="M346" s="5">
        <f>L346-$B$253*$B$248*SQRT(1/$B$242+(K346-AVERAGE(Данные!$B$2:$B$75))^2/DEVSQ(Данные!$B$2:$B$75))</f>
        <v>26.801028413290943</v>
      </c>
      <c r="N346" s="5">
        <f>L346+$B$253*$B$248*SQRT(1/$B$242+(K346-AVERAGE(Данные!$B$2:$B$75))^2/DEVSQ(Данные!$B$2:$B$75))</f>
        <v>28.595812256216441</v>
      </c>
      <c r="O346" s="5"/>
      <c r="P346" s="5"/>
      <c r="Q346" s="5"/>
      <c r="S346">
        <f t="shared" si="14"/>
        <v>2.6949152542372881</v>
      </c>
      <c r="T346">
        <f t="shared" si="15"/>
        <v>26.801028413290943</v>
      </c>
      <c r="U346">
        <f>A384</f>
        <v>2.75</v>
      </c>
      <c r="V346">
        <f>B384</f>
        <v>27</v>
      </c>
    </row>
    <row r="347" spans="1:22" x14ac:dyDescent="0.25">
      <c r="A347" s="5">
        <v>1.25</v>
      </c>
      <c r="B347" s="5">
        <f>E324</f>
        <v>30</v>
      </c>
      <c r="C347" s="5"/>
      <c r="D347" s="5"/>
      <c r="E347" s="5"/>
      <c r="F347" s="5"/>
      <c r="G347" s="5"/>
      <c r="H347" s="5"/>
      <c r="I347" s="5"/>
      <c r="J347" s="5"/>
      <c r="K347" s="5">
        <f>1+26*4/59</f>
        <v>2.7627118644067794</v>
      </c>
      <c r="L347" s="5">
        <f t="shared" si="13"/>
        <v>27.728216162491936</v>
      </c>
      <c r="M347" s="5">
        <f>L347-$B$253*$B$248*SQRT(1/$B$242+(K347-AVERAGE(Данные!$B$2:$B$75))^2/DEVSQ(Данные!$B$2:$B$75))</f>
        <v>26.849124916806726</v>
      </c>
      <c r="N347" s="5">
        <f>L347+$B$253*$B$248*SQRT(1/$B$242+(K347-AVERAGE(Данные!$B$2:$B$75))^2/DEVSQ(Данные!$B$2:$B$75))</f>
        <v>28.607307408177146</v>
      </c>
      <c r="O347" s="5"/>
      <c r="P347" s="5"/>
      <c r="Q347" s="5"/>
      <c r="S347">
        <f t="shared" si="14"/>
        <v>2.7627118644067794</v>
      </c>
      <c r="T347">
        <f t="shared" si="15"/>
        <v>26.849124916806726</v>
      </c>
      <c r="U347">
        <f>A385</f>
        <v>3.25</v>
      </c>
      <c r="V347">
        <f>B385</f>
        <v>27</v>
      </c>
    </row>
    <row r="348" spans="1:22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>
        <f>1+27*4/59</f>
        <v>2.8305084745762712</v>
      </c>
      <c r="L348" s="5">
        <f t="shared" si="13"/>
        <v>27.758011990230184</v>
      </c>
      <c r="M348" s="5">
        <f>L348-$B$253*$B$248*SQRT(1/$B$242+(K348-AVERAGE(Данные!$B$2:$B$75))^2/DEVSQ(Данные!$B$2:$B$75))</f>
        <v>26.894463984452507</v>
      </c>
      <c r="N348" s="5">
        <f>L348+$B$253*$B$248*SQRT(1/$B$242+(K348-AVERAGE(Данные!$B$2:$B$75))^2/DEVSQ(Данные!$B$2:$B$75))</f>
        <v>28.621559996007861</v>
      </c>
      <c r="O348" s="5"/>
      <c r="P348" s="5"/>
      <c r="Q348" s="5"/>
      <c r="S348">
        <f t="shared" si="14"/>
        <v>2.8305084745762712</v>
      </c>
      <c r="T348">
        <f t="shared" si="15"/>
        <v>26.894463984452507</v>
      </c>
    </row>
    <row r="349" spans="1:22" x14ac:dyDescent="0.25">
      <c r="A349" s="5">
        <v>0.87</v>
      </c>
      <c r="B349" s="5">
        <f>E329</f>
        <v>24</v>
      </c>
      <c r="C349" s="5"/>
      <c r="D349" s="5"/>
      <c r="E349" s="5"/>
      <c r="F349" s="5"/>
      <c r="G349" s="5"/>
      <c r="H349" s="5"/>
      <c r="I349" s="5"/>
      <c r="J349" s="5"/>
      <c r="K349" s="5">
        <f>1+28*4/59</f>
        <v>2.898305084745763</v>
      </c>
      <c r="L349" s="5">
        <f t="shared" si="13"/>
        <v>27.787807817968428</v>
      </c>
      <c r="M349" s="5">
        <f>L349-$B$253*$B$248*SQRT(1/$B$242+(K349-AVERAGE(Данные!$B$2:$B$75))^2/DEVSQ(Данные!$B$2:$B$75))</f>
        <v>26.936894496393727</v>
      </c>
      <c r="N349" s="5">
        <f>L349+$B$253*$B$248*SQRT(1/$B$242+(K349-AVERAGE(Данные!$B$2:$B$75))^2/DEVSQ(Данные!$B$2:$B$75))</f>
        <v>28.638721139543129</v>
      </c>
      <c r="O349" s="5"/>
      <c r="P349" s="5"/>
      <c r="Q349" s="5"/>
      <c r="S349">
        <f t="shared" si="14"/>
        <v>2.898305084745763</v>
      </c>
      <c r="T349">
        <f t="shared" si="15"/>
        <v>26.936894496393727</v>
      </c>
      <c r="U349">
        <f>A403</f>
        <v>3.75</v>
      </c>
      <c r="V349">
        <f>B403</f>
        <v>28</v>
      </c>
    </row>
    <row r="350" spans="1:22" x14ac:dyDescent="0.25">
      <c r="A350" s="5">
        <v>1.1299999999999999</v>
      </c>
      <c r="B350" s="5">
        <f>E329</f>
        <v>24</v>
      </c>
      <c r="C350" s="5"/>
      <c r="D350" s="5"/>
      <c r="E350" s="5"/>
      <c r="F350" s="5"/>
      <c r="G350" s="5"/>
      <c r="H350" s="5"/>
      <c r="I350" s="5"/>
      <c r="J350" s="5"/>
      <c r="K350" s="5">
        <f>1+29*4/59</f>
        <v>2.9661016949152543</v>
      </c>
      <c r="L350" s="5">
        <f t="shared" si="13"/>
        <v>27.817603645706672</v>
      </c>
      <c r="M350" s="5">
        <f>L350-$B$253*$B$248*SQRT(1/$B$242+(K350-AVERAGE(Данные!$B$2:$B$75))^2/DEVSQ(Данные!$B$2:$B$75))</f>
        <v>26.976285402773339</v>
      </c>
      <c r="N350" s="5">
        <f>L350+$B$253*$B$248*SQRT(1/$B$242+(K350-AVERAGE(Данные!$B$2:$B$75))^2/DEVSQ(Данные!$B$2:$B$75))</f>
        <v>28.658921888640005</v>
      </c>
      <c r="O350" s="5"/>
      <c r="P350" s="5"/>
      <c r="Q350" s="5"/>
      <c r="S350">
        <f t="shared" si="14"/>
        <v>2.9661016949152543</v>
      </c>
      <c r="T350">
        <f t="shared" si="15"/>
        <v>26.976285402773339</v>
      </c>
      <c r="U350">
        <f>A404</f>
        <v>4.25</v>
      </c>
      <c r="V350">
        <f>B404</f>
        <v>28</v>
      </c>
    </row>
    <row r="351" spans="1:22" x14ac:dyDescent="0.25">
      <c r="A351" s="5">
        <v>1</v>
      </c>
      <c r="B351" s="5">
        <f>E329</f>
        <v>24</v>
      </c>
      <c r="C351" s="5"/>
      <c r="D351" s="5"/>
      <c r="E351" s="5"/>
      <c r="F351" s="5"/>
      <c r="G351" s="5"/>
      <c r="H351" s="5"/>
      <c r="I351" s="5"/>
      <c r="J351" s="5"/>
      <c r="K351" s="5">
        <f>1+30*4/59</f>
        <v>3.0338983050847457</v>
      </c>
      <c r="L351" s="5">
        <f t="shared" si="13"/>
        <v>27.847399473444916</v>
      </c>
      <c r="M351" s="5">
        <f>L351-$B$253*$B$248*SQRT(1/$B$242+(K351-AVERAGE(Данные!$B$2:$B$75))^2/DEVSQ(Данные!$B$2:$B$75))</f>
        <v>27.01253189504698</v>
      </c>
      <c r="N351" s="5">
        <f>L351+$B$253*$B$248*SQRT(1/$B$242+(K351-AVERAGE(Данные!$B$2:$B$75))^2/DEVSQ(Данные!$B$2:$B$75))</f>
        <v>28.682267051842853</v>
      </c>
      <c r="O351" s="5"/>
      <c r="P351" s="5"/>
      <c r="Q351" s="5"/>
      <c r="S351">
        <f t="shared" si="14"/>
        <v>3.0338983050847457</v>
      </c>
      <c r="T351">
        <f t="shared" si="15"/>
        <v>27.01253189504698</v>
      </c>
    </row>
    <row r="352" spans="1:22" x14ac:dyDescent="0.25">
      <c r="A352" s="5">
        <v>1</v>
      </c>
      <c r="B352" s="5">
        <f>E323</f>
        <v>27</v>
      </c>
      <c r="C352" s="5"/>
      <c r="D352" s="5"/>
      <c r="E352" s="5"/>
      <c r="F352" s="5"/>
      <c r="G352" s="5"/>
      <c r="H352" s="5"/>
      <c r="I352" s="5"/>
      <c r="J352" s="5"/>
      <c r="K352" s="5">
        <f>1+31*4/59</f>
        <v>3.1016949152542375</v>
      </c>
      <c r="L352" s="5">
        <f t="shared" si="13"/>
        <v>27.877195301183164</v>
      </c>
      <c r="M352" s="5">
        <f>L352-$B$253*$B$248*SQRT(1/$B$242+(K352-AVERAGE(Данные!$B$2:$B$75))^2/DEVSQ(Данные!$B$2:$B$75))</f>
        <v>27.045560800013273</v>
      </c>
      <c r="N352" s="5">
        <f>L352+$B$253*$B$248*SQRT(1/$B$242+(K352-AVERAGE(Данные!$B$2:$B$75))^2/DEVSQ(Данные!$B$2:$B$75))</f>
        <v>28.708829802353055</v>
      </c>
      <c r="O352" s="5"/>
      <c r="P352" s="5"/>
      <c r="Q352" s="5"/>
      <c r="S352">
        <f t="shared" si="14"/>
        <v>3.1016949152542375</v>
      </c>
      <c r="T352">
        <f t="shared" si="15"/>
        <v>27.045560800013273</v>
      </c>
      <c r="U352">
        <f>A422</f>
        <v>4.75</v>
      </c>
      <c r="V352">
        <f>B422</f>
        <v>28</v>
      </c>
    </row>
    <row r="353" spans="1:22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>
        <f>1+32*4/59</f>
        <v>3.1694915254237288</v>
      </c>
      <c r="L353" s="5">
        <f t="shared" ref="L353:L384" si="16">$B$245+$B$246*K353</f>
        <v>27.906991128921408</v>
      </c>
      <c r="M353" s="5">
        <f>L353-$B$253*$B$248*SQRT(1/$B$242+(K353-AVERAGE(Данные!$B$2:$B$75))^2/DEVSQ(Данные!$B$2:$B$75))</f>
        <v>27.075334591569234</v>
      </c>
      <c r="N353" s="5">
        <f>L353+$B$253*$B$248*SQRT(1/$B$242+(K353-AVERAGE(Данные!$B$2:$B$75))^2/DEVSQ(Данные!$B$2:$B$75))</f>
        <v>28.738647666273582</v>
      </c>
      <c r="O353" s="5"/>
      <c r="P353" s="5"/>
      <c r="Q353" s="5"/>
      <c r="S353">
        <f t="shared" ref="S353:S380" si="17">K353</f>
        <v>3.1694915254237288</v>
      </c>
      <c r="T353">
        <f t="shared" ref="T353:T380" si="18">M353</f>
        <v>27.075334591569234</v>
      </c>
      <c r="U353">
        <f>A423</f>
        <v>5.25</v>
      </c>
      <c r="V353">
        <f>B423</f>
        <v>28</v>
      </c>
    </row>
    <row r="354" spans="1:22" x14ac:dyDescent="0.25">
      <c r="A354" s="5">
        <v>1</v>
      </c>
      <c r="B354" s="5">
        <f>E325</f>
        <v>30.5</v>
      </c>
      <c r="C354" s="5"/>
      <c r="D354" s="5"/>
      <c r="E354" s="5"/>
      <c r="F354" s="5"/>
      <c r="G354" s="5"/>
      <c r="H354" s="5"/>
      <c r="I354" s="5"/>
      <c r="J354" s="5"/>
      <c r="K354" s="5">
        <f>1+33*4/59</f>
        <v>3.2372881355932202</v>
      </c>
      <c r="L354" s="5">
        <f t="shared" si="16"/>
        <v>27.936786956659653</v>
      </c>
      <c r="M354" s="5">
        <f>L354-$B$253*$B$248*SQRT(1/$B$242+(K354-AVERAGE(Данные!$B$2:$B$75))^2/DEVSQ(Данные!$B$2:$B$75))</f>
        <v>27.101853527448927</v>
      </c>
      <c r="N354" s="5">
        <f>L354+$B$253*$B$248*SQRT(1/$B$242+(K354-AVERAGE(Данные!$B$2:$B$75))^2/DEVSQ(Данные!$B$2:$B$75))</f>
        <v>28.771720385870378</v>
      </c>
      <c r="O354" s="5"/>
      <c r="P354" s="5"/>
      <c r="Q354" s="5"/>
      <c r="S354">
        <f t="shared" si="17"/>
        <v>3.2372881355932202</v>
      </c>
      <c r="T354">
        <f t="shared" si="18"/>
        <v>27.101853527448927</v>
      </c>
    </row>
    <row r="355" spans="1:22" x14ac:dyDescent="0.25">
      <c r="A355" s="5">
        <v>1</v>
      </c>
      <c r="B355" s="5">
        <f>E330</f>
        <v>35</v>
      </c>
      <c r="C355" s="5"/>
      <c r="D355" s="5"/>
      <c r="E355" s="5"/>
      <c r="F355" s="5"/>
      <c r="G355" s="5"/>
      <c r="H355" s="5"/>
      <c r="I355" s="5"/>
      <c r="J355" s="5"/>
      <c r="K355" s="5">
        <f>1+34*4/59</f>
        <v>3.3050847457627119</v>
      </c>
      <c r="L355" s="5">
        <f t="shared" si="16"/>
        <v>27.966582784397897</v>
      </c>
      <c r="M355" s="5">
        <f>L355-$B$253*$B$248*SQRT(1/$B$242+(K355-AVERAGE(Данные!$B$2:$B$75))^2/DEVSQ(Данные!$B$2:$B$75))</f>
        <v>27.125155634363495</v>
      </c>
      <c r="N355" s="5">
        <f>L355+$B$253*$B$248*SQRT(1/$B$242+(K355-AVERAGE(Данные!$B$2:$B$75))^2/DEVSQ(Данные!$B$2:$B$75))</f>
        <v>28.808009934432299</v>
      </c>
      <c r="O355" s="5"/>
      <c r="P355" s="5"/>
      <c r="Q355" s="5"/>
      <c r="S355">
        <f t="shared" si="17"/>
        <v>3.3050847457627119</v>
      </c>
      <c r="T355">
        <f t="shared" si="18"/>
        <v>27.125155634363495</v>
      </c>
    </row>
    <row r="356" spans="1:22" x14ac:dyDescent="0.25">
      <c r="A356" s="5">
        <v>0.87</v>
      </c>
      <c r="B356" s="5">
        <f>E330</f>
        <v>35</v>
      </c>
      <c r="C356" s="5"/>
      <c r="D356" s="5"/>
      <c r="E356" s="5"/>
      <c r="F356" s="5"/>
      <c r="G356" s="5"/>
      <c r="H356" s="5"/>
      <c r="I356" s="5"/>
      <c r="J356" s="5"/>
      <c r="K356" s="5">
        <f>1+35*4/59</f>
        <v>3.3728813559322033</v>
      </c>
      <c r="L356" s="5">
        <f t="shared" si="16"/>
        <v>27.996378612136144</v>
      </c>
      <c r="M356" s="5">
        <f>L356-$B$253*$B$248*SQRT(1/$B$242+(K356-AVERAGE(Данные!$B$2:$B$75))^2/DEVSQ(Данные!$B$2:$B$75))</f>
        <v>27.145314543499179</v>
      </c>
      <c r="N356" s="5">
        <f>L356+$B$253*$B$248*SQRT(1/$B$242+(K356-AVERAGE(Данные!$B$2:$B$75))^2/DEVSQ(Данные!$B$2:$B$75))</f>
        <v>28.84744268077311</v>
      </c>
      <c r="O356" s="5"/>
      <c r="P356" s="5"/>
      <c r="Q356" s="5"/>
      <c r="S356">
        <f t="shared" si="17"/>
        <v>3.3728813559322033</v>
      </c>
      <c r="T356">
        <f t="shared" si="18"/>
        <v>27.145314543499179</v>
      </c>
    </row>
    <row r="357" spans="1:22" x14ac:dyDescent="0.25">
      <c r="A357" s="5">
        <v>1.1299999999999999</v>
      </c>
      <c r="B357" s="5">
        <f>E330</f>
        <v>35</v>
      </c>
      <c r="C357" s="5"/>
      <c r="D357" s="5"/>
      <c r="E357" s="5"/>
      <c r="F357" s="5"/>
      <c r="G357" s="5"/>
      <c r="H357" s="5"/>
      <c r="I357" s="5"/>
      <c r="J357" s="5"/>
      <c r="K357" s="5">
        <f>1+36*4/59</f>
        <v>3.4406779661016951</v>
      </c>
      <c r="L357" s="5">
        <f t="shared" si="16"/>
        <v>28.026174439874389</v>
      </c>
      <c r="M357" s="5">
        <f>L357-$B$253*$B$248*SQRT(1/$B$242+(K357-AVERAGE(Данные!$B$2:$B$75))^2/DEVSQ(Данные!$B$2:$B$75))</f>
        <v>27.162435456417434</v>
      </c>
      <c r="N357" s="5">
        <f>L357+$B$253*$B$248*SQRT(1/$B$242+(K357-AVERAGE(Данные!$B$2:$B$75))^2/DEVSQ(Данные!$B$2:$B$75))</f>
        <v>28.889913423331343</v>
      </c>
      <c r="O357" s="5"/>
      <c r="P357" s="5"/>
      <c r="Q357" s="5"/>
      <c r="S357">
        <f t="shared" si="17"/>
        <v>3.4406779661016951</v>
      </c>
      <c r="T357">
        <f t="shared" si="18"/>
        <v>27.162435456417434</v>
      </c>
    </row>
    <row r="358" spans="1:22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>
        <f>1+37*4/59</f>
        <v>3.5084745762711864</v>
      </c>
      <c r="L358" s="5">
        <f t="shared" si="16"/>
        <v>28.055970267612633</v>
      </c>
      <c r="M358" s="5">
        <f>L358-$B$253*$B$248*SQRT(1/$B$242+(K358-AVERAGE(Данные!$B$2:$B$75))^2/DEVSQ(Данные!$B$2:$B$75))</f>
        <v>27.176649736367025</v>
      </c>
      <c r="N358" s="5">
        <f>L358+$B$253*$B$248*SQRT(1/$B$242+(K358-AVERAGE(Данные!$B$2:$B$75))^2/DEVSQ(Данные!$B$2:$B$75))</f>
        <v>28.93529079885824</v>
      </c>
      <c r="O358" s="5"/>
      <c r="P358" s="5"/>
      <c r="Q358" s="5"/>
      <c r="S358">
        <f t="shared" si="17"/>
        <v>3.5084745762711864</v>
      </c>
      <c r="T358">
        <f t="shared" si="18"/>
        <v>27.176649736367025</v>
      </c>
    </row>
    <row r="359" spans="1:22" x14ac:dyDescent="0.25">
      <c r="A359" s="5">
        <v>1.75</v>
      </c>
      <c r="B359" s="5">
        <f>F323</f>
        <v>23</v>
      </c>
      <c r="C359" s="5"/>
      <c r="D359" s="5"/>
      <c r="E359" s="5"/>
      <c r="F359" s="5"/>
      <c r="G359" s="5"/>
      <c r="H359" s="5"/>
      <c r="I359" s="5"/>
      <c r="J359" s="5"/>
      <c r="K359" s="5">
        <f>1+38*4/59</f>
        <v>3.5762711864406778</v>
      </c>
      <c r="L359" s="5">
        <f t="shared" si="16"/>
        <v>28.085766095350877</v>
      </c>
      <c r="M359" s="5">
        <f>L359-$B$253*$B$248*SQRT(1/$B$242+(K359-AVERAGE(Данные!$B$2:$B$75))^2/DEVSQ(Данные!$B$2:$B$75))</f>
        <v>27.188108730703696</v>
      </c>
      <c r="N359" s="5">
        <f>L359+$B$253*$B$248*SQRT(1/$B$242+(K359-AVERAGE(Данные!$B$2:$B$75))^2/DEVSQ(Данные!$B$2:$B$75))</f>
        <v>28.983423459998058</v>
      </c>
      <c r="O359" s="5"/>
      <c r="P359" s="5"/>
      <c r="Q359" s="5"/>
      <c r="S359">
        <f t="shared" si="17"/>
        <v>3.5762711864406778</v>
      </c>
      <c r="T359">
        <f t="shared" si="18"/>
        <v>27.188108730703696</v>
      </c>
    </row>
    <row r="360" spans="1:22" x14ac:dyDescent="0.25">
      <c r="A360" s="5">
        <v>2.25</v>
      </c>
      <c r="B360" s="5">
        <f>F323</f>
        <v>23</v>
      </c>
      <c r="C360" s="5"/>
      <c r="D360" s="5"/>
      <c r="E360" s="5"/>
      <c r="F360" s="5"/>
      <c r="G360" s="5"/>
      <c r="H360" s="5"/>
      <c r="I360" s="5"/>
      <c r="J360" s="5"/>
      <c r="K360" s="5">
        <f>1+39*4/59</f>
        <v>3.6440677966101696</v>
      </c>
      <c r="L360" s="5">
        <f t="shared" si="16"/>
        <v>28.115561923089125</v>
      </c>
      <c r="M360" s="5">
        <f>L360-$B$253*$B$248*SQRT(1/$B$242+(K360-AVERAGE(Данные!$B$2:$B$75))^2/DEVSQ(Данные!$B$2:$B$75))</f>
        <v>27.196977428092044</v>
      </c>
      <c r="N360" s="5">
        <f>L360+$B$253*$B$248*SQRT(1/$B$242+(K360-AVERAGE(Данные!$B$2:$B$75))^2/DEVSQ(Данные!$B$2:$B$75))</f>
        <v>29.034146418086205</v>
      </c>
      <c r="O360" s="5"/>
      <c r="P360" s="5"/>
      <c r="Q360" s="5"/>
      <c r="S360">
        <f t="shared" si="17"/>
        <v>3.6440677966101696</v>
      </c>
      <c r="T360">
        <f t="shared" si="18"/>
        <v>27.196977428092044</v>
      </c>
    </row>
    <row r="361" spans="1:22" x14ac:dyDescent="0.25">
      <c r="A361" s="5">
        <v>2.25</v>
      </c>
      <c r="B361" s="5">
        <f>F325</f>
        <v>26.5</v>
      </c>
      <c r="C361" s="5"/>
      <c r="D361" s="5"/>
      <c r="E361" s="5"/>
      <c r="F361" s="5"/>
      <c r="G361" s="5"/>
      <c r="H361" s="5"/>
      <c r="I361" s="5"/>
      <c r="J361" s="5"/>
      <c r="K361" s="5">
        <f>1+40*4/59</f>
        <v>3.7118644067796609</v>
      </c>
      <c r="L361" s="5">
        <f t="shared" si="16"/>
        <v>28.145357750827369</v>
      </c>
      <c r="M361" s="5">
        <f>L361-$B$253*$B$248*SQRT(1/$B$242+(K361-AVERAGE(Данные!$B$2:$B$75))^2/DEVSQ(Данные!$B$2:$B$75))</f>
        <v>27.203428460964687</v>
      </c>
      <c r="N361" s="5">
        <f>L361+$B$253*$B$248*SQRT(1/$B$242+(K361-AVERAGE(Данные!$B$2:$B$75))^2/DEVSQ(Данные!$B$2:$B$75))</f>
        <v>29.08728704069005</v>
      </c>
      <c r="O361" s="5"/>
      <c r="P361" s="5"/>
      <c r="Q361" s="5"/>
      <c r="S361">
        <f t="shared" si="17"/>
        <v>3.7118644067796609</v>
      </c>
      <c r="T361">
        <f t="shared" si="18"/>
        <v>27.203428460964687</v>
      </c>
    </row>
    <row r="362" spans="1:22" x14ac:dyDescent="0.25">
      <c r="A362" s="5">
        <v>1.75</v>
      </c>
      <c r="B362" s="5">
        <f>F325</f>
        <v>26.5</v>
      </c>
      <c r="C362" s="5"/>
      <c r="D362" s="5"/>
      <c r="E362" s="5"/>
      <c r="F362" s="5"/>
      <c r="G362" s="5"/>
      <c r="H362" s="5"/>
      <c r="I362" s="5"/>
      <c r="J362" s="5"/>
      <c r="K362" s="5">
        <f>1+41*4/59</f>
        <v>3.7796610169491527</v>
      </c>
      <c r="L362" s="5">
        <f t="shared" si="16"/>
        <v>28.175153578565613</v>
      </c>
      <c r="M362" s="5">
        <f>L362-$B$253*$B$248*SQRT(1/$B$242+(K362-AVERAGE(Данные!$B$2:$B$75))^2/DEVSQ(Данные!$B$2:$B$75))</f>
        <v>27.207636817851952</v>
      </c>
      <c r="N362" s="5">
        <f>L362+$B$253*$B$248*SQRT(1/$B$242+(K362-AVERAGE(Данные!$B$2:$B$75))^2/DEVSQ(Данные!$B$2:$B$75))</f>
        <v>29.142670339279274</v>
      </c>
      <c r="O362" s="5"/>
      <c r="P362" s="5"/>
      <c r="Q362" s="5"/>
      <c r="S362">
        <f t="shared" si="17"/>
        <v>3.7796610169491527</v>
      </c>
      <c r="T362">
        <f t="shared" si="18"/>
        <v>27.207636817851952</v>
      </c>
    </row>
    <row r="363" spans="1:22" x14ac:dyDescent="0.25">
      <c r="A363" s="5">
        <v>1.75</v>
      </c>
      <c r="B363" s="5">
        <f>F323</f>
        <v>23</v>
      </c>
      <c r="C363" s="5"/>
      <c r="D363" s="5"/>
      <c r="E363" s="5"/>
      <c r="F363" s="5"/>
      <c r="G363" s="5"/>
      <c r="H363" s="5"/>
      <c r="I363" s="5"/>
      <c r="J363" s="5"/>
      <c r="K363" s="5">
        <f>1+42*4/59</f>
        <v>3.847457627118644</v>
      </c>
      <c r="L363" s="5">
        <f t="shared" si="16"/>
        <v>28.204949406303857</v>
      </c>
      <c r="M363" s="5">
        <f>L363-$B$253*$B$248*SQRT(1/$B$242+(K363-AVERAGE(Данные!$B$2:$B$75))^2/DEVSQ(Данные!$B$2:$B$75))</f>
        <v>27.209775471792433</v>
      </c>
      <c r="N363" s="5">
        <f>L363+$B$253*$B$248*SQRT(1/$B$242+(K363-AVERAGE(Данные!$B$2:$B$75))^2/DEVSQ(Данные!$B$2:$B$75))</f>
        <v>29.200123340815281</v>
      </c>
      <c r="O363" s="5"/>
      <c r="P363" s="5"/>
      <c r="Q363" s="5"/>
      <c r="S363">
        <f t="shared" si="17"/>
        <v>3.847457627118644</v>
      </c>
      <c r="T363">
        <f t="shared" si="18"/>
        <v>27.209775471792433</v>
      </c>
    </row>
    <row r="364" spans="1:22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>
        <f>1+43*4/59</f>
        <v>3.9152542372881354</v>
      </c>
      <c r="L364" s="5">
        <f t="shared" si="16"/>
        <v>28.234745234042101</v>
      </c>
      <c r="M364" s="5">
        <f>L364-$B$253*$B$248*SQRT(1/$B$242+(K364-AVERAGE(Данные!$B$2:$B$75))^2/DEVSQ(Данные!$B$2:$B$75))</f>
        <v>27.210011990652148</v>
      </c>
      <c r="N364" s="5">
        <f>L364+$B$253*$B$248*SQRT(1/$B$242+(K364-AVERAGE(Данные!$B$2:$B$75))^2/DEVSQ(Данные!$B$2:$B$75))</f>
        <v>29.259478477432054</v>
      </c>
      <c r="O364" s="5"/>
      <c r="P364" s="5"/>
      <c r="Q364" s="5"/>
      <c r="S364">
        <f t="shared" si="17"/>
        <v>3.9152542372881354</v>
      </c>
      <c r="T364">
        <f t="shared" si="18"/>
        <v>27.210011990652148</v>
      </c>
    </row>
    <row r="365" spans="1:22" x14ac:dyDescent="0.25">
      <c r="A365" s="5">
        <v>1.75</v>
      </c>
      <c r="B365" s="5">
        <f>F324</f>
        <v>24</v>
      </c>
      <c r="C365" s="5"/>
      <c r="D365" s="5"/>
      <c r="E365" s="5"/>
      <c r="F365" s="5"/>
      <c r="G365" s="5"/>
      <c r="H365" s="5"/>
      <c r="I365" s="5"/>
      <c r="J365" s="5"/>
      <c r="K365" s="5">
        <f>1+44*4/59</f>
        <v>3.9830508474576272</v>
      </c>
      <c r="L365" s="5">
        <f t="shared" si="16"/>
        <v>28.264541061780349</v>
      </c>
      <c r="M365" s="5">
        <f>L365-$B$253*$B$248*SQRT(1/$B$242+(K365-AVERAGE(Данные!$B$2:$B$75))^2/DEVSQ(Данные!$B$2:$B$75))</f>
        <v>27.208506089445386</v>
      </c>
      <c r="N365" s="5">
        <f>L365+$B$253*$B$248*SQRT(1/$B$242+(K365-AVERAGE(Данные!$B$2:$B$75))^2/DEVSQ(Данные!$B$2:$B$75))</f>
        <v>29.320576034115312</v>
      </c>
      <c r="O365" s="5"/>
      <c r="P365" s="5"/>
      <c r="Q365" s="5"/>
      <c r="S365">
        <f t="shared" si="17"/>
        <v>3.9830508474576272</v>
      </c>
      <c r="T365">
        <f t="shared" si="18"/>
        <v>27.208506089445386</v>
      </c>
    </row>
    <row r="366" spans="1:22" x14ac:dyDescent="0.25">
      <c r="A366" s="5">
        <v>2.25</v>
      </c>
      <c r="B366" s="5">
        <f>F324</f>
        <v>24</v>
      </c>
      <c r="C366" s="5"/>
      <c r="D366" s="5"/>
      <c r="E366" s="5"/>
      <c r="F366" s="5"/>
      <c r="G366" s="5"/>
      <c r="H366" s="5"/>
      <c r="I366" s="5"/>
      <c r="J366" s="5"/>
      <c r="K366" s="5">
        <f>1+45*4/59</f>
        <v>4.0508474576271185</v>
      </c>
      <c r="L366" s="5">
        <f t="shared" si="16"/>
        <v>28.294336889518593</v>
      </c>
      <c r="M366" s="5">
        <f>L366-$B$253*$B$248*SQRT(1/$B$242+(K366-AVERAGE(Данные!$B$2:$B$75))^2/DEVSQ(Данные!$B$2:$B$75))</f>
        <v>27.205408017650015</v>
      </c>
      <c r="N366" s="5">
        <f>L366+$B$253*$B$248*SQRT(1/$B$242+(K366-AVERAGE(Данные!$B$2:$B$75))^2/DEVSQ(Данные!$B$2:$B$75))</f>
        <v>29.383265761387172</v>
      </c>
      <c r="O366" s="5"/>
      <c r="P366" s="5"/>
      <c r="Q366" s="5"/>
      <c r="S366">
        <f t="shared" si="17"/>
        <v>4.0508474576271185</v>
      </c>
      <c r="T366">
        <f t="shared" si="18"/>
        <v>27.205408017650015</v>
      </c>
    </row>
    <row r="367" spans="1:22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>
        <f>1+46*4/59</f>
        <v>4.1186440677966107</v>
      </c>
      <c r="L367" s="5">
        <f t="shared" si="16"/>
        <v>28.324132717256838</v>
      </c>
      <c r="M367" s="5">
        <f>L367-$B$253*$B$248*SQRT(1/$B$242+(K367-AVERAGE(Данные!$B$2:$B$75))^2/DEVSQ(Данные!$B$2:$B$75))</f>
        <v>27.200857641555476</v>
      </c>
      <c r="N367" s="5">
        <f>L367+$B$253*$B$248*SQRT(1/$B$242+(K367-AVERAGE(Данные!$B$2:$B$75))^2/DEVSQ(Данные!$B$2:$B$75))</f>
        <v>29.447407792958199</v>
      </c>
      <c r="O367" s="5"/>
      <c r="P367" s="5"/>
      <c r="Q367" s="5"/>
      <c r="S367">
        <f t="shared" si="17"/>
        <v>4.1186440677966107</v>
      </c>
      <c r="T367">
        <f t="shared" si="18"/>
        <v>27.200857641555476</v>
      </c>
    </row>
    <row r="368" spans="1:22" x14ac:dyDescent="0.25">
      <c r="A368" s="5">
        <v>1.87</v>
      </c>
      <c r="B368" s="5">
        <f>F329</f>
        <v>20</v>
      </c>
      <c r="C368" s="5"/>
      <c r="D368" s="5"/>
      <c r="E368" s="5"/>
      <c r="F368" s="5"/>
      <c r="G368" s="5"/>
      <c r="H368" s="5"/>
      <c r="I368" s="5"/>
      <c r="J368" s="5"/>
      <c r="K368" s="5">
        <f>1+47*4/59</f>
        <v>4.1864406779661021</v>
      </c>
      <c r="L368" s="5">
        <f t="shared" si="16"/>
        <v>28.353928544995082</v>
      </c>
      <c r="M368" s="5">
        <f>L368-$B$253*$B$248*SQRT(1/$B$242+(K368-AVERAGE(Данные!$B$2:$B$75))^2/DEVSQ(Данные!$B$2:$B$75))</f>
        <v>27.194984074408474</v>
      </c>
      <c r="N368" s="5">
        <f>L368+$B$253*$B$248*SQRT(1/$B$242+(K368-AVERAGE(Данные!$B$2:$B$75))^2/DEVSQ(Данные!$B$2:$B$75))</f>
        <v>29.51287301558169</v>
      </c>
      <c r="O368" s="5"/>
      <c r="P368" s="5"/>
      <c r="Q368" s="5"/>
      <c r="S368">
        <f t="shared" si="17"/>
        <v>4.1864406779661021</v>
      </c>
      <c r="T368">
        <f t="shared" si="18"/>
        <v>27.194984074408474</v>
      </c>
    </row>
    <row r="369" spans="1:20" x14ac:dyDescent="0.25">
      <c r="A369" s="5">
        <v>2.13</v>
      </c>
      <c r="B369" s="5">
        <f>F329</f>
        <v>20</v>
      </c>
      <c r="C369" s="5"/>
      <c r="D369" s="5"/>
      <c r="E369" s="5"/>
      <c r="F369" s="5"/>
      <c r="G369" s="5"/>
      <c r="H369" s="5"/>
      <c r="I369" s="5"/>
      <c r="J369" s="5"/>
      <c r="K369" s="5">
        <f>1+48*4/59</f>
        <v>4.2542372881355934</v>
      </c>
      <c r="L369" s="5">
        <f t="shared" si="16"/>
        <v>28.383724372733329</v>
      </c>
      <c r="M369" s="5">
        <f>L369-$B$253*$B$248*SQRT(1/$B$242+(K369-AVERAGE(Данные!$B$2:$B$75))^2/DEVSQ(Данные!$B$2:$B$75))</f>
        <v>27.18790571648853</v>
      </c>
      <c r="N369" s="5">
        <f>L369+$B$253*$B$248*SQRT(1/$B$242+(K369-AVERAGE(Данные!$B$2:$B$75))^2/DEVSQ(Данные!$B$2:$B$75))</f>
        <v>29.579543028978129</v>
      </c>
      <c r="O369" s="5"/>
      <c r="P369" s="5"/>
      <c r="Q369" s="5"/>
      <c r="S369">
        <f t="shared" si="17"/>
        <v>4.2542372881355934</v>
      </c>
      <c r="T369">
        <f t="shared" si="18"/>
        <v>27.18790571648853</v>
      </c>
    </row>
    <row r="370" spans="1:20" x14ac:dyDescent="0.25">
      <c r="A370" s="5">
        <v>2</v>
      </c>
      <c r="B370" s="5">
        <f>F329</f>
        <v>20</v>
      </c>
      <c r="C370" s="5"/>
      <c r="D370" s="5"/>
      <c r="E370" s="5"/>
      <c r="F370" s="5"/>
      <c r="G370" s="5"/>
      <c r="H370" s="5"/>
      <c r="I370" s="5"/>
      <c r="J370" s="5"/>
      <c r="K370" s="5">
        <f>1+49*4/59</f>
        <v>4.3220338983050848</v>
      </c>
      <c r="L370" s="5">
        <f t="shared" si="16"/>
        <v>28.413520200471574</v>
      </c>
      <c r="M370" s="5">
        <f>L370-$B$253*$B$248*SQRT(1/$B$242+(K370-AVERAGE(Данные!$B$2:$B$75))^2/DEVSQ(Данные!$B$2:$B$75))</f>
        <v>27.179730585564961</v>
      </c>
      <c r="N370" s="5">
        <f>L370+$B$253*$B$248*SQRT(1/$B$242+(K370-AVERAGE(Данные!$B$2:$B$75))^2/DEVSQ(Данные!$B$2:$B$75))</f>
        <v>29.647309815378186</v>
      </c>
      <c r="O370" s="5"/>
      <c r="P370" s="5"/>
      <c r="Q370" s="5"/>
      <c r="S370">
        <f t="shared" si="17"/>
        <v>4.3220338983050848</v>
      </c>
      <c r="T370">
        <f t="shared" si="18"/>
        <v>27.179730585564961</v>
      </c>
    </row>
    <row r="371" spans="1:20" x14ac:dyDescent="0.25">
      <c r="A371" s="5">
        <v>2</v>
      </c>
      <c r="B371" s="5">
        <f>F323</f>
        <v>23</v>
      </c>
      <c r="C371" s="5"/>
      <c r="D371" s="5"/>
      <c r="E371" s="5"/>
      <c r="F371" s="5"/>
      <c r="G371" s="5"/>
      <c r="H371" s="5"/>
      <c r="I371" s="5"/>
      <c r="J371" s="5"/>
      <c r="K371" s="5">
        <f>1+50*4/59</f>
        <v>4.3898305084745761</v>
      </c>
      <c r="L371" s="5">
        <f t="shared" si="16"/>
        <v>28.443316028209818</v>
      </c>
      <c r="M371" s="5">
        <f>L371-$B$253*$B$248*SQRT(1/$B$242+(K371-AVERAGE(Данные!$B$2:$B$75))^2/DEVSQ(Данные!$B$2:$B$75))</f>
        <v>27.170556839836713</v>
      </c>
      <c r="N371" s="5">
        <f>L371+$B$253*$B$248*SQRT(1/$B$242+(K371-AVERAGE(Данные!$B$2:$B$75))^2/DEVSQ(Данные!$B$2:$B$75))</f>
        <v>29.716075216582922</v>
      </c>
      <c r="O371" s="5"/>
      <c r="P371" s="5"/>
      <c r="Q371" s="5"/>
      <c r="S371">
        <f t="shared" si="17"/>
        <v>4.3898305084745761</v>
      </c>
      <c r="T371">
        <f t="shared" si="18"/>
        <v>27.170556839836713</v>
      </c>
    </row>
    <row r="372" spans="1:20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>
        <f>1+51*4/59</f>
        <v>4.4576271186440675</v>
      </c>
      <c r="L372" s="5">
        <f t="shared" si="16"/>
        <v>28.473111855948062</v>
      </c>
      <c r="M372" s="5">
        <f>L372-$B$253*$B$248*SQRT(1/$B$242+(K372-AVERAGE(Данные!$B$2:$B$75))^2/DEVSQ(Данные!$B$2:$B$75))</f>
        <v>27.160473416836446</v>
      </c>
      <c r="N372" s="5">
        <f>L372+$B$253*$B$248*SQRT(1/$B$242+(K372-AVERAGE(Данные!$B$2:$B$75))^2/DEVSQ(Данные!$B$2:$B$75))</f>
        <v>29.785750295059678</v>
      </c>
      <c r="O372" s="5"/>
      <c r="P372" s="5"/>
      <c r="Q372" s="5"/>
      <c r="S372">
        <f t="shared" si="17"/>
        <v>4.4576271186440675</v>
      </c>
      <c r="T372">
        <f t="shared" si="18"/>
        <v>27.160473416836446</v>
      </c>
    </row>
    <row r="373" spans="1:20" x14ac:dyDescent="0.25">
      <c r="A373" s="5">
        <v>2</v>
      </c>
      <c r="B373" s="5">
        <f>F325</f>
        <v>26.5</v>
      </c>
      <c r="C373" s="5"/>
      <c r="D373" s="5"/>
      <c r="E373" s="5"/>
      <c r="F373" s="5"/>
      <c r="G373" s="5"/>
      <c r="H373" s="5"/>
      <c r="I373" s="5"/>
      <c r="J373" s="5"/>
      <c r="K373" s="5">
        <f>1+52*4/59</f>
        <v>4.5254237288135588</v>
      </c>
      <c r="L373" s="5">
        <f t="shared" si="16"/>
        <v>28.50290768368631</v>
      </c>
      <c r="M373" s="5">
        <f>L373-$B$253*$B$248*SQRT(1/$B$242+(K373-AVERAGE(Данные!$B$2:$B$75))^2/DEVSQ(Данные!$B$2:$B$75))</f>
        <v>27.149560730910693</v>
      </c>
      <c r="N373" s="5">
        <f>L373+$B$253*$B$248*SQRT(1/$B$242+(K373-AVERAGE(Данные!$B$2:$B$75))^2/DEVSQ(Данные!$B$2:$B$75))</f>
        <v>29.856254636461927</v>
      </c>
      <c r="O373" s="5"/>
      <c r="P373" s="5"/>
      <c r="Q373" s="5"/>
      <c r="S373">
        <f t="shared" si="17"/>
        <v>4.5254237288135588</v>
      </c>
      <c r="T373">
        <f t="shared" si="18"/>
        <v>27.149560730910693</v>
      </c>
    </row>
    <row r="374" spans="1:20" x14ac:dyDescent="0.25">
      <c r="A374" s="5">
        <v>2</v>
      </c>
      <c r="B374" s="5">
        <f>F330</f>
        <v>31</v>
      </c>
      <c r="C374" s="5"/>
      <c r="D374" s="5"/>
      <c r="E374" s="5"/>
      <c r="F374" s="5"/>
      <c r="G374" s="5"/>
      <c r="H374" s="5"/>
      <c r="I374" s="5"/>
      <c r="J374" s="5"/>
      <c r="K374" s="5">
        <f>1+53*4/59</f>
        <v>4.593220338983051</v>
      </c>
      <c r="L374" s="5">
        <f t="shared" si="16"/>
        <v>28.532703511424554</v>
      </c>
      <c r="M374" s="5">
        <f>L374-$B$253*$B$248*SQRT(1/$B$242+(K374-AVERAGE(Данные!$B$2:$B$75))^2/DEVSQ(Данные!$B$2:$B$75))</f>
        <v>27.137891387929358</v>
      </c>
      <c r="N374" s="5">
        <f>L374+$B$253*$B$248*SQRT(1/$B$242+(K374-AVERAGE(Данные!$B$2:$B$75))^2/DEVSQ(Данные!$B$2:$B$75))</f>
        <v>29.92751563491975</v>
      </c>
      <c r="O374" s="5"/>
      <c r="P374" s="5"/>
      <c r="Q374" s="5"/>
      <c r="S374">
        <f t="shared" si="17"/>
        <v>4.593220338983051</v>
      </c>
      <c r="T374">
        <f t="shared" si="18"/>
        <v>27.137891387929358</v>
      </c>
    </row>
    <row r="375" spans="1:20" x14ac:dyDescent="0.25">
      <c r="A375" s="5">
        <v>1.87</v>
      </c>
      <c r="B375" s="5">
        <f>F330</f>
        <v>31</v>
      </c>
      <c r="C375" s="5"/>
      <c r="D375" s="5"/>
      <c r="E375" s="5"/>
      <c r="F375" s="5"/>
      <c r="G375" s="5"/>
      <c r="H375" s="5"/>
      <c r="I375" s="5"/>
      <c r="J375" s="5"/>
      <c r="K375" s="5">
        <f>1+54*4/59</f>
        <v>4.6610169491525424</v>
      </c>
      <c r="L375" s="5">
        <f t="shared" si="16"/>
        <v>28.562499339162798</v>
      </c>
      <c r="M375" s="5">
        <f>L375-$B$253*$B$248*SQRT(1/$B$242+(K375-AVERAGE(Данные!$B$2:$B$75))^2/DEVSQ(Данные!$B$2:$B$75))</f>
        <v>27.125530888701981</v>
      </c>
      <c r="N375" s="5">
        <f>L375+$B$253*$B$248*SQRT(1/$B$242+(K375-AVERAGE(Данные!$B$2:$B$75))^2/DEVSQ(Данные!$B$2:$B$75))</f>
        <v>29.999467789623615</v>
      </c>
      <c r="O375" s="5"/>
      <c r="P375" s="5"/>
      <c r="Q375" s="5"/>
      <c r="S375">
        <f t="shared" si="17"/>
        <v>4.6610169491525424</v>
      </c>
      <c r="T375">
        <f t="shared" si="18"/>
        <v>27.125530888701981</v>
      </c>
    </row>
    <row r="376" spans="1:20" x14ac:dyDescent="0.25">
      <c r="A376" s="5">
        <v>2.13</v>
      </c>
      <c r="B376" s="5">
        <f>F330</f>
        <v>31</v>
      </c>
      <c r="C376" s="5"/>
      <c r="D376" s="5"/>
      <c r="E376" s="5"/>
      <c r="F376" s="5"/>
      <c r="G376" s="5"/>
      <c r="H376" s="5"/>
      <c r="I376" s="5"/>
      <c r="J376" s="5"/>
      <c r="K376" s="5">
        <f>1+55*4/59</f>
        <v>4.7288135593220337</v>
      </c>
      <c r="L376" s="5">
        <f t="shared" si="16"/>
        <v>28.592295166901042</v>
      </c>
      <c r="M376" s="5">
        <f>L376-$B$253*$B$248*SQRT(1/$B$242+(K376-AVERAGE(Данные!$B$2:$B$75))^2/DEVSQ(Данные!$B$2:$B$75))</f>
        <v>27.112538302447021</v>
      </c>
      <c r="N376" s="5">
        <f>L376+$B$253*$B$248*SQRT(1/$B$242+(K376-AVERAGE(Данные!$B$2:$B$75))^2/DEVSQ(Данные!$B$2:$B$75))</f>
        <v>30.072052031355064</v>
      </c>
      <c r="O376" s="5"/>
      <c r="P376" s="5"/>
      <c r="Q376" s="5"/>
      <c r="S376">
        <f t="shared" si="17"/>
        <v>4.7288135593220337</v>
      </c>
      <c r="T376">
        <f t="shared" si="18"/>
        <v>27.112538302447021</v>
      </c>
    </row>
    <row r="377" spans="1:20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>
        <f>1+56*4/59</f>
        <v>4.796610169491526</v>
      </c>
      <c r="L377" s="5">
        <f t="shared" si="16"/>
        <v>28.62209099463929</v>
      </c>
      <c r="M377" s="5">
        <f>L377-$B$253*$B$248*SQRT(1/$B$242+(K377-AVERAGE(Данные!$B$2:$B$75))^2/DEVSQ(Данные!$B$2:$B$75))</f>
        <v>27.09896689901008</v>
      </c>
      <c r="N377" s="5">
        <f>L377+$B$253*$B$248*SQRT(1/$B$242+(K377-AVERAGE(Данные!$B$2:$B$75))^2/DEVSQ(Данные!$B$2:$B$75))</f>
        <v>30.145215090268501</v>
      </c>
      <c r="O377" s="5"/>
      <c r="P377" s="5"/>
      <c r="Q377" s="5"/>
      <c r="S377">
        <f t="shared" si="17"/>
        <v>4.796610169491526</v>
      </c>
      <c r="T377">
        <f t="shared" si="18"/>
        <v>27.09896689901008</v>
      </c>
    </row>
    <row r="378" spans="1:20" x14ac:dyDescent="0.25">
      <c r="A378" s="5">
        <v>2.75</v>
      </c>
      <c r="B378" s="5">
        <f>G323</f>
        <v>26</v>
      </c>
      <c r="C378" s="5"/>
      <c r="D378" s="5"/>
      <c r="E378" s="5"/>
      <c r="F378" s="5"/>
      <c r="G378" s="5"/>
      <c r="H378" s="5"/>
      <c r="I378" s="5"/>
      <c r="J378" s="5"/>
      <c r="K378" s="5">
        <f>1+57*4/59</f>
        <v>4.8644067796610173</v>
      </c>
      <c r="L378" s="5">
        <f t="shared" si="16"/>
        <v>28.651886822377534</v>
      </c>
      <c r="M378" s="5">
        <f>L378-$B$253*$B$248*SQRT(1/$B$242+(K378-AVERAGE(Данные!$B$2:$B$75))^2/DEVSQ(Данные!$B$2:$B$75))</f>
        <v>27.084864733834344</v>
      </c>
      <c r="N378" s="5">
        <f>L378+$B$253*$B$248*SQRT(1/$B$242+(K378-AVERAGE(Данные!$B$2:$B$75))^2/DEVSQ(Данные!$B$2:$B$75))</f>
        <v>30.218908910920725</v>
      </c>
      <c r="O378" s="5"/>
      <c r="P378" s="5"/>
      <c r="Q378" s="5"/>
      <c r="S378">
        <f t="shared" si="17"/>
        <v>4.8644067796610173</v>
      </c>
      <c r="T378">
        <f t="shared" si="18"/>
        <v>27.084864733834344</v>
      </c>
    </row>
    <row r="379" spans="1:20" x14ac:dyDescent="0.25">
      <c r="A379" s="5">
        <v>3.25</v>
      </c>
      <c r="B379" s="5">
        <f>G323</f>
        <v>26</v>
      </c>
      <c r="C379" s="5"/>
      <c r="D379" s="5"/>
      <c r="E379" s="5"/>
      <c r="F379" s="5"/>
      <c r="G379" s="5"/>
      <c r="H379" s="5"/>
      <c r="I379" s="5"/>
      <c r="J379" s="5"/>
      <c r="K379" s="5">
        <f>1+58*4/59</f>
        <v>4.9322033898305087</v>
      </c>
      <c r="L379" s="5">
        <f t="shared" si="16"/>
        <v>28.681682650115778</v>
      </c>
      <c r="M379" s="5">
        <f>L379-$B$253*$B$248*SQRT(1/$B$242+(K379-AVERAGE(Данные!$B$2:$B$75))^2/DEVSQ(Данные!$B$2:$B$75))</f>
        <v>27.070275183400213</v>
      </c>
      <c r="N379" s="5">
        <f>L379+$B$253*$B$248*SQRT(1/$B$242+(K379-AVERAGE(Данные!$B$2:$B$75))^2/DEVSQ(Данные!$B$2:$B$75))</f>
        <v>30.293090116831344</v>
      </c>
      <c r="O379" s="5"/>
      <c r="P379" s="5"/>
      <c r="Q379" s="5"/>
      <c r="S379">
        <f t="shared" si="17"/>
        <v>4.9322033898305087</v>
      </c>
      <c r="T379">
        <f t="shared" si="18"/>
        <v>27.070275183400213</v>
      </c>
    </row>
    <row r="380" spans="1:20" x14ac:dyDescent="0.25">
      <c r="A380" s="5">
        <v>3.25</v>
      </c>
      <c r="B380" s="5">
        <f>G325</f>
        <v>29</v>
      </c>
      <c r="C380" s="5"/>
      <c r="D380" s="5"/>
      <c r="E380" s="5"/>
      <c r="F380" s="5"/>
      <c r="G380" s="5"/>
      <c r="H380" s="5"/>
      <c r="I380" s="5"/>
      <c r="J380" s="5"/>
      <c r="K380" s="5">
        <f>1+59*4/59</f>
        <v>5</v>
      </c>
      <c r="L380" s="5">
        <f t="shared" si="16"/>
        <v>28.711478477854023</v>
      </c>
      <c r="M380" s="5">
        <f>L380-$B$253*$B$248*SQRT(1/$B$242+(K380-AVERAGE(Данные!$B$2:$B$75))^2/DEVSQ(Данные!$B$2:$B$75))</f>
        <v>27.055237431357604</v>
      </c>
      <c r="N380" s="5">
        <f>L380+$B$253*$B$248*SQRT(1/$B$242+(K380-AVERAGE(Данные!$B$2:$B$75))^2/DEVSQ(Данные!$B$2:$B$75))</f>
        <v>30.367719524350441</v>
      </c>
      <c r="O380" s="5"/>
      <c r="P380" s="5"/>
      <c r="Q380" s="5"/>
      <c r="S380">
        <f t="shared" si="17"/>
        <v>5</v>
      </c>
      <c r="T380">
        <f t="shared" si="18"/>
        <v>27.055237431357604</v>
      </c>
    </row>
    <row r="381" spans="1:20" x14ac:dyDescent="0.25">
      <c r="A381" s="5">
        <v>2.75</v>
      </c>
      <c r="B381" s="5">
        <f>G325</f>
        <v>29</v>
      </c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</row>
    <row r="382" spans="1:20" x14ac:dyDescent="0.25">
      <c r="A382" s="5">
        <v>2.75</v>
      </c>
      <c r="B382" s="5">
        <f>G323</f>
        <v>26</v>
      </c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S382">
        <f t="shared" ref="S382:S413" si="19">K321</f>
        <v>1</v>
      </c>
      <c r="T382">
        <f t="shared" ref="T382:T413" si="20">N321</f>
        <v>28.79229396821464</v>
      </c>
    </row>
    <row r="383" spans="1:20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S383">
        <f t="shared" si="19"/>
        <v>1.0677966101694916</v>
      </c>
      <c r="T383">
        <f t="shared" si="20"/>
        <v>28.775790059414796</v>
      </c>
    </row>
    <row r="384" spans="1:20" x14ac:dyDescent="0.25">
      <c r="A384" s="5">
        <v>2.75</v>
      </c>
      <c r="B384" s="5">
        <f>G324</f>
        <v>27</v>
      </c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S384">
        <f t="shared" si="19"/>
        <v>1.1355932203389831</v>
      </c>
      <c r="T384">
        <f t="shared" si="20"/>
        <v>28.759611761916808</v>
      </c>
    </row>
    <row r="385" spans="1:20" x14ac:dyDescent="0.25">
      <c r="A385" s="5">
        <v>3.25</v>
      </c>
      <c r="B385" s="5">
        <f>G324</f>
        <v>27</v>
      </c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 t="s">
        <v>69</v>
      </c>
      <c r="P385" s="5" t="s">
        <v>70</v>
      </c>
      <c r="Q385" s="5" t="s">
        <v>71</v>
      </c>
      <c r="S385">
        <f t="shared" si="19"/>
        <v>1.2033898305084745</v>
      </c>
      <c r="T385">
        <f t="shared" si="20"/>
        <v>28.743785479469523</v>
      </c>
    </row>
    <row r="386" spans="1:20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>
        <v>0</v>
      </c>
      <c r="P386" s="5">
        <v>10</v>
      </c>
      <c r="Q386" s="5">
        <v>5</v>
      </c>
      <c r="S386">
        <f t="shared" si="19"/>
        <v>1.271186440677966</v>
      </c>
      <c r="T386">
        <f t="shared" si="20"/>
        <v>28.72834031239308</v>
      </c>
    </row>
    <row r="387" spans="1:20" x14ac:dyDescent="0.25">
      <c r="A387" s="5">
        <v>2.87</v>
      </c>
      <c r="B387" s="5">
        <f>G329</f>
        <v>24</v>
      </c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>
        <f t="shared" ref="O387:O420" si="21">IF(TDIST(Q386,$B$250,2)&gt;0.05,Q386,O386)</f>
        <v>0</v>
      </c>
      <c r="P387" s="5">
        <f t="shared" ref="P387:P420" si="22">IF(TDIST(Q386,$B$250,2)&gt;0.05,P386,Q386)</f>
        <v>5</v>
      </c>
      <c r="Q387" s="5">
        <f t="shared" ref="Q387:Q420" si="23">(O387+P387)/2</f>
        <v>2.5</v>
      </c>
      <c r="S387">
        <f t="shared" si="19"/>
        <v>1.3389830508474576</v>
      </c>
      <c r="T387">
        <f t="shared" si="20"/>
        <v>28.713308372981775</v>
      </c>
    </row>
    <row r="388" spans="1:20" x14ac:dyDescent="0.25">
      <c r="A388" s="5">
        <v>3.13</v>
      </c>
      <c r="B388" s="5">
        <f>G329</f>
        <v>24</v>
      </c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>
        <f t="shared" si="21"/>
        <v>0</v>
      </c>
      <c r="P388" s="5">
        <f t="shared" si="22"/>
        <v>2.5</v>
      </c>
      <c r="Q388" s="5">
        <f t="shared" si="23"/>
        <v>1.25</v>
      </c>
      <c r="S388">
        <f t="shared" si="19"/>
        <v>1.4067796610169492</v>
      </c>
      <c r="T388">
        <f t="shared" si="20"/>
        <v>28.698725138728086</v>
      </c>
    </row>
    <row r="389" spans="1:20" x14ac:dyDescent="0.25">
      <c r="A389" s="5">
        <v>3</v>
      </c>
      <c r="B389" s="5">
        <f>G329</f>
        <v>24</v>
      </c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>
        <f t="shared" si="21"/>
        <v>1.25</v>
      </c>
      <c r="P389" s="5">
        <f t="shared" si="22"/>
        <v>2.5</v>
      </c>
      <c r="Q389" s="5">
        <f t="shared" si="23"/>
        <v>1.875</v>
      </c>
      <c r="S389">
        <f t="shared" si="19"/>
        <v>1.4745762711864407</v>
      </c>
      <c r="T389">
        <f t="shared" si="20"/>
        <v>28.684629846913836</v>
      </c>
    </row>
    <row r="390" spans="1:20" x14ac:dyDescent="0.25">
      <c r="A390" s="5">
        <v>3</v>
      </c>
      <c r="B390" s="5">
        <f>G323</f>
        <v>26</v>
      </c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>
        <f t="shared" si="21"/>
        <v>1.875</v>
      </c>
      <c r="P390" s="5">
        <f t="shared" si="22"/>
        <v>2.5</v>
      </c>
      <c r="Q390" s="5">
        <f t="shared" si="23"/>
        <v>2.1875</v>
      </c>
      <c r="S390">
        <f t="shared" si="19"/>
        <v>1.5423728813559321</v>
      </c>
      <c r="T390">
        <f t="shared" si="20"/>
        <v>28.671065933898817</v>
      </c>
    </row>
    <row r="391" spans="1:20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>
        <f t="shared" si="21"/>
        <v>1.875</v>
      </c>
      <c r="P391" s="5">
        <f t="shared" si="22"/>
        <v>2.1875</v>
      </c>
      <c r="Q391" s="5">
        <f t="shared" si="23"/>
        <v>2.03125</v>
      </c>
      <c r="S391">
        <f t="shared" si="19"/>
        <v>1.6101694915254239</v>
      </c>
      <c r="T391">
        <f t="shared" si="20"/>
        <v>28.658081521909988</v>
      </c>
    </row>
    <row r="392" spans="1:20" x14ac:dyDescent="0.25">
      <c r="A392" s="5">
        <v>3</v>
      </c>
      <c r="B392" s="5">
        <f>G325</f>
        <v>29</v>
      </c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>
        <f t="shared" si="21"/>
        <v>1.875</v>
      </c>
      <c r="P392" s="5">
        <f t="shared" si="22"/>
        <v>2.03125</v>
      </c>
      <c r="Q392" s="5">
        <f t="shared" si="23"/>
        <v>1.953125</v>
      </c>
      <c r="S392">
        <f t="shared" si="19"/>
        <v>1.6779661016949152</v>
      </c>
      <c r="T392">
        <f t="shared" si="20"/>
        <v>28.645729955153456</v>
      </c>
    </row>
    <row r="393" spans="1:20" x14ac:dyDescent="0.25">
      <c r="A393" s="5">
        <v>3</v>
      </c>
      <c r="B393" s="5">
        <f>G330</f>
        <v>31</v>
      </c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>
        <f t="shared" si="21"/>
        <v>1.953125</v>
      </c>
      <c r="P393" s="5">
        <f t="shared" si="22"/>
        <v>2.03125</v>
      </c>
      <c r="Q393" s="5">
        <f t="shared" si="23"/>
        <v>1.9921875</v>
      </c>
      <c r="S393">
        <f t="shared" si="19"/>
        <v>1.7457627118644068</v>
      </c>
      <c r="T393">
        <f t="shared" si="20"/>
        <v>28.634070385445451</v>
      </c>
    </row>
    <row r="394" spans="1:20" x14ac:dyDescent="0.25">
      <c r="A394" s="5">
        <v>2.87</v>
      </c>
      <c r="B394" s="5">
        <f>G330</f>
        <v>31</v>
      </c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>
        <f t="shared" si="21"/>
        <v>1.9921875</v>
      </c>
      <c r="P394" s="5">
        <f t="shared" si="22"/>
        <v>2.03125</v>
      </c>
      <c r="Q394" s="5">
        <f t="shared" si="23"/>
        <v>2.01171875</v>
      </c>
      <c r="S394">
        <f t="shared" si="19"/>
        <v>1.8135593220338984</v>
      </c>
      <c r="T394">
        <f t="shared" si="20"/>
        <v>28.623168405037983</v>
      </c>
    </row>
    <row r="395" spans="1:20" x14ac:dyDescent="0.25">
      <c r="A395" s="5">
        <v>3.13</v>
      </c>
      <c r="B395" s="5">
        <f>G330</f>
        <v>31</v>
      </c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>
        <f t="shared" si="21"/>
        <v>1.9921875</v>
      </c>
      <c r="P395" s="5">
        <f t="shared" si="22"/>
        <v>2.01171875</v>
      </c>
      <c r="Q395" s="5">
        <f t="shared" si="23"/>
        <v>2.001953125</v>
      </c>
      <c r="S395">
        <f t="shared" si="19"/>
        <v>1.8813559322033897</v>
      </c>
      <c r="T395">
        <f t="shared" si="20"/>
        <v>28.613096720582213</v>
      </c>
    </row>
    <row r="396" spans="1:20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>
        <f t="shared" si="21"/>
        <v>1.9921875</v>
      </c>
      <c r="P396" s="5">
        <f t="shared" si="22"/>
        <v>2.001953125</v>
      </c>
      <c r="Q396" s="5">
        <f t="shared" si="23"/>
        <v>1.9970703125</v>
      </c>
      <c r="S396">
        <f t="shared" si="19"/>
        <v>1.9491525423728815</v>
      </c>
      <c r="T396">
        <f t="shared" si="20"/>
        <v>28.603935856840824</v>
      </c>
    </row>
    <row r="397" spans="1:20" x14ac:dyDescent="0.25">
      <c r="A397" s="5">
        <v>3.75</v>
      </c>
      <c r="B397" s="5">
        <f>H323</f>
        <v>26</v>
      </c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>
        <f t="shared" si="21"/>
        <v>1.9921875</v>
      </c>
      <c r="P397" s="5">
        <f t="shared" si="22"/>
        <v>1.9970703125</v>
      </c>
      <c r="Q397" s="5">
        <f t="shared" si="23"/>
        <v>1.99462890625</v>
      </c>
      <c r="S397">
        <f t="shared" si="19"/>
        <v>2.0169491525423728</v>
      </c>
      <c r="T397">
        <f t="shared" si="20"/>
        <v>28.595774871380222</v>
      </c>
    </row>
    <row r="398" spans="1:20" x14ac:dyDescent="0.25">
      <c r="A398" s="5">
        <v>4.25</v>
      </c>
      <c r="B398" s="5">
        <f>H323</f>
        <v>26</v>
      </c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>
        <f t="shared" si="21"/>
        <v>1.9921875</v>
      </c>
      <c r="P398" s="5">
        <f t="shared" si="22"/>
        <v>1.99462890625</v>
      </c>
      <c r="Q398" s="5">
        <f t="shared" si="23"/>
        <v>1.993408203125</v>
      </c>
      <c r="S398">
        <f t="shared" si="19"/>
        <v>2.0847457627118642</v>
      </c>
      <c r="T398">
        <f t="shared" si="20"/>
        <v>28.58871205156721</v>
      </c>
    </row>
    <row r="399" spans="1:20" x14ac:dyDescent="0.25">
      <c r="A399" s="5">
        <v>4.25</v>
      </c>
      <c r="B399" s="5">
        <f>H325</f>
        <v>32</v>
      </c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>
        <f t="shared" si="21"/>
        <v>1.993408203125</v>
      </c>
      <c r="P399" s="5">
        <f t="shared" si="22"/>
        <v>1.99462890625</v>
      </c>
      <c r="Q399" s="5">
        <f t="shared" si="23"/>
        <v>1.9940185546875</v>
      </c>
      <c r="S399">
        <f t="shared" si="19"/>
        <v>2.152542372881356</v>
      </c>
      <c r="T399">
        <f t="shared" si="20"/>
        <v>28.582855552328283</v>
      </c>
    </row>
    <row r="400" spans="1:20" x14ac:dyDescent="0.25">
      <c r="A400" s="5">
        <v>3.75</v>
      </c>
      <c r="B400" s="5">
        <f>H325</f>
        <v>32</v>
      </c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>
        <f t="shared" si="21"/>
        <v>1.993408203125</v>
      </c>
      <c r="P400" s="5">
        <f t="shared" si="22"/>
        <v>1.9940185546875</v>
      </c>
      <c r="Q400" s="5">
        <f t="shared" si="23"/>
        <v>1.99371337890625</v>
      </c>
      <c r="S400">
        <f t="shared" si="19"/>
        <v>2.2203389830508478</v>
      </c>
      <c r="T400">
        <f t="shared" si="20"/>
        <v>28.578323917044617</v>
      </c>
    </row>
    <row r="401" spans="1:20" x14ac:dyDescent="0.25">
      <c r="A401" s="5">
        <v>3.75</v>
      </c>
      <c r="B401" s="5">
        <f>H323</f>
        <v>26</v>
      </c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>
        <f t="shared" si="21"/>
        <v>1.993408203125</v>
      </c>
      <c r="P401" s="5">
        <f t="shared" si="22"/>
        <v>1.99371337890625</v>
      </c>
      <c r="Q401" s="5">
        <f t="shared" si="23"/>
        <v>1.993560791015625</v>
      </c>
      <c r="S401">
        <f t="shared" si="19"/>
        <v>2.2881355932203391</v>
      </c>
      <c r="T401">
        <f t="shared" si="20"/>
        <v>28.575246404787144</v>
      </c>
    </row>
    <row r="402" spans="1:20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>
        <f t="shared" si="21"/>
        <v>1.993408203125</v>
      </c>
      <c r="P402" s="5">
        <f t="shared" si="22"/>
        <v>1.993560791015625</v>
      </c>
      <c r="Q402" s="5">
        <f t="shared" si="23"/>
        <v>1.9934844970703125</v>
      </c>
      <c r="S402">
        <f t="shared" si="19"/>
        <v>2.3559322033898304</v>
      </c>
      <c r="T402">
        <f t="shared" si="20"/>
        <v>28.573763025696405</v>
      </c>
    </row>
    <row r="403" spans="1:20" x14ac:dyDescent="0.25">
      <c r="A403" s="5">
        <v>3.75</v>
      </c>
      <c r="B403" s="5">
        <f>H324</f>
        <v>28</v>
      </c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>
        <f t="shared" si="21"/>
        <v>1.993408203125</v>
      </c>
      <c r="P403" s="5">
        <f t="shared" si="22"/>
        <v>1.9934844970703125</v>
      </c>
      <c r="Q403" s="5">
        <f t="shared" si="23"/>
        <v>1.9934463500976563</v>
      </c>
      <c r="S403">
        <f t="shared" si="19"/>
        <v>2.4237288135593218</v>
      </c>
      <c r="T403">
        <f t="shared" si="20"/>
        <v>28.574024164678647</v>
      </c>
    </row>
    <row r="404" spans="1:20" x14ac:dyDescent="0.25">
      <c r="A404" s="5">
        <v>4.25</v>
      </c>
      <c r="B404" s="5">
        <f>H324</f>
        <v>28</v>
      </c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>
        <f t="shared" si="21"/>
        <v>1.9934463500976563</v>
      </c>
      <c r="P404" s="5">
        <f t="shared" si="22"/>
        <v>1.9934844970703125</v>
      </c>
      <c r="Q404" s="5">
        <f t="shared" si="23"/>
        <v>1.9934654235839844</v>
      </c>
      <c r="S404">
        <f t="shared" si="19"/>
        <v>2.4915254237288136</v>
      </c>
      <c r="T404">
        <f t="shared" si="20"/>
        <v>28.576189655348987</v>
      </c>
    </row>
    <row r="405" spans="1:20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>
        <f t="shared" si="21"/>
        <v>1.9934463500976563</v>
      </c>
      <c r="P405" s="5">
        <f t="shared" si="22"/>
        <v>1.9934654235839844</v>
      </c>
      <c r="Q405" s="5">
        <f t="shared" si="23"/>
        <v>1.9934558868408203</v>
      </c>
      <c r="S405">
        <f t="shared" si="19"/>
        <v>2.5593220338983054</v>
      </c>
      <c r="T405">
        <f t="shared" si="20"/>
        <v>28.580427156954624</v>
      </c>
    </row>
    <row r="406" spans="1:20" x14ac:dyDescent="0.25">
      <c r="A406" s="5">
        <v>3.87</v>
      </c>
      <c r="B406" s="5">
        <f>H329</f>
        <v>24</v>
      </c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>
        <f t="shared" si="21"/>
        <v>1.9934558868408203</v>
      </c>
      <c r="P406" s="5">
        <f t="shared" si="22"/>
        <v>1.9934654235839844</v>
      </c>
      <c r="Q406" s="5">
        <f t="shared" si="23"/>
        <v>1.9934606552124023</v>
      </c>
      <c r="S406">
        <f t="shared" si="19"/>
        <v>2.6271186440677967</v>
      </c>
      <c r="T406">
        <f t="shared" si="20"/>
        <v>28.58690969456956</v>
      </c>
    </row>
    <row r="407" spans="1:20" x14ac:dyDescent="0.25">
      <c r="A407" s="5">
        <v>4.13</v>
      </c>
      <c r="B407" s="5">
        <f>H329</f>
        <v>24</v>
      </c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>
        <f t="shared" si="21"/>
        <v>1.9934606552124023</v>
      </c>
      <c r="P407" s="5">
        <f t="shared" si="22"/>
        <v>1.9934654235839844</v>
      </c>
      <c r="Q407" s="5">
        <f t="shared" si="23"/>
        <v>1.9934630393981934</v>
      </c>
      <c r="S407">
        <f t="shared" si="19"/>
        <v>2.6949152542372881</v>
      </c>
      <c r="T407">
        <f t="shared" si="20"/>
        <v>28.595812256216441</v>
      </c>
    </row>
    <row r="408" spans="1:20" x14ac:dyDescent="0.25">
      <c r="A408" s="5">
        <v>4</v>
      </c>
      <c r="B408" s="5">
        <f>H329</f>
        <v>24</v>
      </c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>
        <f t="shared" si="21"/>
        <v>1.9934630393981934</v>
      </c>
      <c r="P408" s="5">
        <f t="shared" si="22"/>
        <v>1.9934654235839844</v>
      </c>
      <c r="Q408" s="5">
        <f t="shared" si="23"/>
        <v>1.9934642314910889</v>
      </c>
      <c r="S408">
        <f t="shared" si="19"/>
        <v>2.7627118644067794</v>
      </c>
      <c r="T408">
        <f t="shared" si="20"/>
        <v>28.607307408177146</v>
      </c>
    </row>
    <row r="409" spans="1:20" x14ac:dyDescent="0.25">
      <c r="A409" s="5">
        <v>4</v>
      </c>
      <c r="B409" s="5">
        <f>H323</f>
        <v>26</v>
      </c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>
        <f t="shared" si="21"/>
        <v>1.9934630393981934</v>
      </c>
      <c r="P409" s="5">
        <f t="shared" si="22"/>
        <v>1.9934642314910889</v>
      </c>
      <c r="Q409" s="5">
        <f t="shared" si="23"/>
        <v>1.9934636354446411</v>
      </c>
      <c r="S409">
        <f t="shared" si="19"/>
        <v>2.8305084745762712</v>
      </c>
      <c r="T409">
        <f t="shared" si="20"/>
        <v>28.621559996007861</v>
      </c>
    </row>
    <row r="410" spans="1:20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>
        <f t="shared" si="21"/>
        <v>1.9934630393981934</v>
      </c>
      <c r="P410" s="5">
        <f t="shared" si="22"/>
        <v>1.9934636354446411</v>
      </c>
      <c r="Q410" s="5">
        <f t="shared" si="23"/>
        <v>1.9934633374214172</v>
      </c>
      <c r="S410">
        <f t="shared" si="19"/>
        <v>2.898305084745763</v>
      </c>
      <c r="T410">
        <f t="shared" si="20"/>
        <v>28.638721139543129</v>
      </c>
    </row>
    <row r="411" spans="1:20" x14ac:dyDescent="0.25">
      <c r="A411" s="5">
        <v>4</v>
      </c>
      <c r="B411" s="5">
        <f>H325</f>
        <v>32</v>
      </c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>
        <f t="shared" si="21"/>
        <v>1.9934633374214172</v>
      </c>
      <c r="P411" s="5">
        <f t="shared" si="22"/>
        <v>1.9934636354446411</v>
      </c>
      <c r="Q411" s="5">
        <f t="shared" si="23"/>
        <v>1.9934634864330292</v>
      </c>
      <c r="S411">
        <f t="shared" si="19"/>
        <v>2.9661016949152543</v>
      </c>
      <c r="T411">
        <f t="shared" si="20"/>
        <v>28.658921888640005</v>
      </c>
    </row>
    <row r="412" spans="1:20" x14ac:dyDescent="0.25">
      <c r="A412" s="5">
        <v>4</v>
      </c>
      <c r="B412" s="5">
        <f>H330</f>
        <v>39</v>
      </c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>
        <f t="shared" si="21"/>
        <v>1.9934634864330292</v>
      </c>
      <c r="P412" s="5">
        <f t="shared" si="22"/>
        <v>1.9934636354446411</v>
      </c>
      <c r="Q412" s="5">
        <f t="shared" si="23"/>
        <v>1.9934635609388351</v>
      </c>
      <c r="S412">
        <f t="shared" si="19"/>
        <v>3.0338983050847457</v>
      </c>
      <c r="T412">
        <f t="shared" si="20"/>
        <v>28.682267051842853</v>
      </c>
    </row>
    <row r="413" spans="1:20" x14ac:dyDescent="0.25">
      <c r="A413" s="5">
        <v>3.87</v>
      </c>
      <c r="B413" s="5">
        <f>H330</f>
        <v>39</v>
      </c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>
        <f t="shared" si="21"/>
        <v>1.9934635609388351</v>
      </c>
      <c r="P413" s="5">
        <f t="shared" si="22"/>
        <v>1.9934636354446411</v>
      </c>
      <c r="Q413" s="5">
        <f t="shared" si="23"/>
        <v>1.9934635981917381</v>
      </c>
      <c r="S413">
        <f t="shared" si="19"/>
        <v>3.1016949152542375</v>
      </c>
      <c r="T413">
        <f t="shared" si="20"/>
        <v>28.708829802353055</v>
      </c>
    </row>
    <row r="414" spans="1:20" x14ac:dyDescent="0.25">
      <c r="A414" s="5">
        <v>4.13</v>
      </c>
      <c r="B414" s="5">
        <f>H330</f>
        <v>39</v>
      </c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>
        <f t="shared" si="21"/>
        <v>1.9934635609388351</v>
      </c>
      <c r="P414" s="5">
        <f t="shared" si="22"/>
        <v>1.9934635981917381</v>
      </c>
      <c r="Q414" s="5">
        <f t="shared" si="23"/>
        <v>1.9934635795652866</v>
      </c>
      <c r="S414">
        <f t="shared" ref="S414:S445" si="24">K353</f>
        <v>3.1694915254237288</v>
      </c>
      <c r="T414">
        <f t="shared" ref="T414:T445" si="25">N353</f>
        <v>28.738647666273582</v>
      </c>
    </row>
    <row r="415" spans="1:20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>
        <f t="shared" si="21"/>
        <v>1.9934635609388351</v>
      </c>
      <c r="P415" s="5">
        <f t="shared" si="22"/>
        <v>1.9934635795652866</v>
      </c>
      <c r="Q415" s="5">
        <f t="shared" si="23"/>
        <v>1.9934635702520609</v>
      </c>
      <c r="S415">
        <f t="shared" si="24"/>
        <v>3.2372881355932202</v>
      </c>
      <c r="T415">
        <f t="shared" si="25"/>
        <v>28.771720385870378</v>
      </c>
    </row>
    <row r="416" spans="1:20" x14ac:dyDescent="0.25">
      <c r="A416" s="5">
        <v>4.75</v>
      </c>
      <c r="B416" s="5">
        <f>I323</f>
        <v>24.75</v>
      </c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>
        <f t="shared" si="21"/>
        <v>1.9934635609388351</v>
      </c>
      <c r="P416" s="5">
        <f t="shared" si="22"/>
        <v>1.9934635702520609</v>
      </c>
      <c r="Q416" s="5">
        <f t="shared" si="23"/>
        <v>1.993463565595448</v>
      </c>
      <c r="S416">
        <f t="shared" si="24"/>
        <v>3.3050847457627119</v>
      </c>
      <c r="T416">
        <f t="shared" si="25"/>
        <v>28.808009934432299</v>
      </c>
    </row>
    <row r="417" spans="1:20" x14ac:dyDescent="0.25">
      <c r="A417" s="5">
        <v>5.25</v>
      </c>
      <c r="B417" s="5">
        <f>I323</f>
        <v>24.75</v>
      </c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>
        <f t="shared" si="21"/>
        <v>1.993463565595448</v>
      </c>
      <c r="P417" s="5">
        <f t="shared" si="22"/>
        <v>1.9934635702520609</v>
      </c>
      <c r="Q417" s="5">
        <f t="shared" si="23"/>
        <v>1.9934635679237545</v>
      </c>
      <c r="S417">
        <f t="shared" si="24"/>
        <v>3.3728813559322033</v>
      </c>
      <c r="T417">
        <f t="shared" si="25"/>
        <v>28.84744268077311</v>
      </c>
    </row>
    <row r="418" spans="1:20" x14ac:dyDescent="0.25">
      <c r="A418" s="5">
        <v>5.25</v>
      </c>
      <c r="B418" s="5">
        <f>I325</f>
        <v>29.75</v>
      </c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>
        <f t="shared" si="21"/>
        <v>1.993463565595448</v>
      </c>
      <c r="P418" s="5">
        <f t="shared" si="22"/>
        <v>1.9934635679237545</v>
      </c>
      <c r="Q418" s="5">
        <f t="shared" si="23"/>
        <v>1.9934635667596012</v>
      </c>
      <c r="S418">
        <f t="shared" si="24"/>
        <v>3.4406779661016951</v>
      </c>
      <c r="T418">
        <f t="shared" si="25"/>
        <v>28.889913423331343</v>
      </c>
    </row>
    <row r="419" spans="1:20" x14ac:dyDescent="0.25">
      <c r="A419" s="5">
        <v>4.75</v>
      </c>
      <c r="B419" s="5">
        <f>I325</f>
        <v>29.75</v>
      </c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>
        <f t="shared" si="21"/>
        <v>1.993463565595448</v>
      </c>
      <c r="P419" s="5">
        <f t="shared" si="22"/>
        <v>1.9934635667596012</v>
      </c>
      <c r="Q419" s="5">
        <f t="shared" si="23"/>
        <v>1.9934635661775246</v>
      </c>
      <c r="S419">
        <f t="shared" si="24"/>
        <v>3.5084745762711864</v>
      </c>
      <c r="T419">
        <f t="shared" si="25"/>
        <v>28.93529079885824</v>
      </c>
    </row>
    <row r="420" spans="1:20" x14ac:dyDescent="0.25">
      <c r="A420" s="5">
        <v>4.75</v>
      </c>
      <c r="B420" s="5">
        <f>I323</f>
        <v>24.75</v>
      </c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>
        <f t="shared" si="21"/>
        <v>1.9934635661775246</v>
      </c>
      <c r="P420" s="5">
        <f t="shared" si="22"/>
        <v>1.9934635667596012</v>
      </c>
      <c r="Q420" s="5">
        <f t="shared" si="23"/>
        <v>1.9934635664685629</v>
      </c>
      <c r="S420">
        <f t="shared" si="24"/>
        <v>3.5762711864406778</v>
      </c>
      <c r="T420">
        <f t="shared" si="25"/>
        <v>28.983423459998058</v>
      </c>
    </row>
    <row r="421" spans="1:20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S421">
        <f t="shared" si="24"/>
        <v>3.6440677966101696</v>
      </c>
      <c r="T421">
        <f t="shared" si="25"/>
        <v>29.034146418086205</v>
      </c>
    </row>
    <row r="422" spans="1:20" x14ac:dyDescent="0.25">
      <c r="A422" s="5">
        <v>4.75</v>
      </c>
      <c r="B422" s="5">
        <f>I324</f>
        <v>28</v>
      </c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S422">
        <f t="shared" si="24"/>
        <v>3.7118644067796609</v>
      </c>
      <c r="T422">
        <f t="shared" si="25"/>
        <v>29.08728704069005</v>
      </c>
    </row>
    <row r="423" spans="1:20" x14ac:dyDescent="0.25">
      <c r="A423" s="5">
        <v>5.25</v>
      </c>
      <c r="B423" s="5">
        <f>I324</f>
        <v>28</v>
      </c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S423">
        <f t="shared" si="24"/>
        <v>3.7796610169491527</v>
      </c>
      <c r="T423">
        <f t="shared" si="25"/>
        <v>29.142670339279274</v>
      </c>
    </row>
    <row r="424" spans="1:20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S424">
        <f t="shared" si="24"/>
        <v>3.847457627118644</v>
      </c>
      <c r="T424">
        <f t="shared" si="25"/>
        <v>29.200123340815281</v>
      </c>
    </row>
    <row r="425" spans="1:20" x14ac:dyDescent="0.25">
      <c r="A425" s="5">
        <v>4.87</v>
      </c>
      <c r="B425" s="5">
        <f>I329</f>
        <v>24</v>
      </c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S425">
        <f t="shared" si="24"/>
        <v>3.9152542372881354</v>
      </c>
      <c r="T425">
        <f t="shared" si="25"/>
        <v>29.259478477432054</v>
      </c>
    </row>
    <row r="426" spans="1:20" x14ac:dyDescent="0.25">
      <c r="A426" s="5">
        <v>5.13</v>
      </c>
      <c r="B426" s="5">
        <f>I329</f>
        <v>24</v>
      </c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S426">
        <f t="shared" si="24"/>
        <v>3.9830508474576272</v>
      </c>
      <c r="T426">
        <f t="shared" si="25"/>
        <v>29.320576034115312</v>
      </c>
    </row>
    <row r="427" spans="1:20" x14ac:dyDescent="0.25">
      <c r="A427" s="5">
        <v>5</v>
      </c>
      <c r="B427" s="5">
        <f>I329</f>
        <v>24</v>
      </c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S427">
        <f t="shared" si="24"/>
        <v>4.0508474576271185</v>
      </c>
      <c r="T427">
        <f t="shared" si="25"/>
        <v>29.383265761387172</v>
      </c>
    </row>
    <row r="428" spans="1:20" x14ac:dyDescent="0.25">
      <c r="A428" s="5">
        <v>5</v>
      </c>
      <c r="B428" s="5">
        <f>I323</f>
        <v>24.75</v>
      </c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S428">
        <f t="shared" si="24"/>
        <v>4.1186440677966107</v>
      </c>
      <c r="T428">
        <f t="shared" si="25"/>
        <v>29.447407792958199</v>
      </c>
    </row>
    <row r="429" spans="1:20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S429">
        <f t="shared" si="24"/>
        <v>4.1864406779661021</v>
      </c>
      <c r="T429">
        <f t="shared" si="25"/>
        <v>29.51287301558169</v>
      </c>
    </row>
    <row r="430" spans="1:20" x14ac:dyDescent="0.25">
      <c r="A430" s="5">
        <v>5</v>
      </c>
      <c r="B430" s="5">
        <f>I325</f>
        <v>29.75</v>
      </c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S430">
        <f t="shared" si="24"/>
        <v>4.2542372881355934</v>
      </c>
      <c r="T430">
        <f t="shared" si="25"/>
        <v>29.579543028978129</v>
      </c>
    </row>
    <row r="431" spans="1:20" x14ac:dyDescent="0.25">
      <c r="A431" s="5">
        <v>5</v>
      </c>
      <c r="B431" s="5">
        <f>I330</f>
        <v>30</v>
      </c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S431">
        <f t="shared" si="24"/>
        <v>4.3220338983050848</v>
      </c>
      <c r="T431">
        <f t="shared" si="25"/>
        <v>29.647309815378186</v>
      </c>
    </row>
    <row r="432" spans="1:20" x14ac:dyDescent="0.25">
      <c r="A432" s="5">
        <v>4.87</v>
      </c>
      <c r="B432" s="5">
        <f>I330</f>
        <v>30</v>
      </c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S432">
        <f t="shared" si="24"/>
        <v>4.3898305084745761</v>
      </c>
      <c r="T432">
        <f t="shared" si="25"/>
        <v>29.716075216582922</v>
      </c>
    </row>
    <row r="433" spans="1:20" x14ac:dyDescent="0.25">
      <c r="A433" s="5">
        <v>5.13</v>
      </c>
      <c r="B433" s="5">
        <f>I330</f>
        <v>30</v>
      </c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S433">
        <f t="shared" si="24"/>
        <v>4.4576271186440675</v>
      </c>
      <c r="T433">
        <f t="shared" si="25"/>
        <v>29.785750295059678</v>
      </c>
    </row>
    <row r="434" spans="1:20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S434">
        <f t="shared" si="24"/>
        <v>4.5254237288135588</v>
      </c>
      <c r="T434">
        <f t="shared" si="25"/>
        <v>29.856254636461927</v>
      </c>
    </row>
    <row r="435" spans="1:20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S435">
        <f t="shared" si="24"/>
        <v>4.593220338983051</v>
      </c>
      <c r="T435">
        <f t="shared" si="25"/>
        <v>29.92751563491975</v>
      </c>
    </row>
    <row r="436" spans="1:20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S436">
        <f t="shared" si="24"/>
        <v>4.6610169491525424</v>
      </c>
      <c r="T436">
        <f t="shared" si="25"/>
        <v>29.999467789623615</v>
      </c>
    </row>
    <row r="437" spans="1:20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S437">
        <f t="shared" si="24"/>
        <v>4.7288135593220337</v>
      </c>
      <c r="T437">
        <f t="shared" si="25"/>
        <v>30.072052031355064</v>
      </c>
    </row>
    <row r="438" spans="1:20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S438">
        <f t="shared" si="24"/>
        <v>4.796610169491526</v>
      </c>
      <c r="T438">
        <f t="shared" si="25"/>
        <v>30.145215090268501</v>
      </c>
    </row>
    <row r="439" spans="1:20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S439">
        <f t="shared" si="24"/>
        <v>4.8644067796610173</v>
      </c>
      <c r="T439">
        <f t="shared" si="25"/>
        <v>30.218908910920725</v>
      </c>
    </row>
    <row r="440" spans="1:20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S440">
        <f t="shared" si="24"/>
        <v>4.9322033898305087</v>
      </c>
      <c r="T440">
        <f t="shared" si="25"/>
        <v>30.293090116831344</v>
      </c>
    </row>
    <row r="441" spans="1:20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S441">
        <f t="shared" si="24"/>
        <v>5</v>
      </c>
      <c r="T441">
        <f t="shared" si="25"/>
        <v>30.367719524350441</v>
      </c>
    </row>
    <row r="442" spans="1:20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</row>
    <row r="443" spans="1:20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</row>
    <row r="444" spans="1:20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</row>
    <row r="445" spans="1:20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</row>
    <row r="446" spans="1:20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</row>
    <row r="447" spans="1:20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</row>
    <row r="448" spans="1:20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</row>
    <row r="449" spans="1:17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</row>
    <row r="450" spans="1:17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</row>
    <row r="451" spans="1:17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</row>
    <row r="452" spans="1:17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</row>
    <row r="453" spans="1:17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</row>
    <row r="454" spans="1:17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</row>
    <row r="455" spans="1:17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</row>
    <row r="456" spans="1:17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</row>
    <row r="457" spans="1:17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</row>
    <row r="458" spans="1:17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</row>
    <row r="459" spans="1:17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</row>
    <row r="460" spans="1:17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</row>
    <row r="461" spans="1:17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</row>
    <row r="462" spans="1:17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</row>
    <row r="463" spans="1:17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</row>
    <row r="464" spans="1:17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</row>
    <row r="465" spans="1:19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</row>
    <row r="466" spans="1:19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</row>
    <row r="467" spans="1:19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</row>
    <row r="468" spans="1:19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</row>
    <row r="469" spans="1:19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</row>
    <row r="470" spans="1:19" x14ac:dyDescent="0.25">
      <c r="A470" s="6" t="s">
        <v>4</v>
      </c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5"/>
      <c r="R470" t="s">
        <v>72</v>
      </c>
      <c r="S470" s="12">
        <v>0.08</v>
      </c>
    </row>
    <row r="471" spans="1:19" x14ac:dyDescent="0.25">
      <c r="A471" s="5"/>
      <c r="B471" s="5"/>
      <c r="C471" s="5"/>
      <c r="D471" s="5"/>
      <c r="E471" s="5">
        <v>1</v>
      </c>
      <c r="F471" s="5">
        <v>2</v>
      </c>
      <c r="G471" s="5">
        <v>3</v>
      </c>
      <c r="H471" s="5">
        <v>4</v>
      </c>
      <c r="I471" s="5">
        <v>5</v>
      </c>
      <c r="J471" s="5"/>
      <c r="K471" s="5" t="s">
        <v>35</v>
      </c>
      <c r="L471" s="5" t="s">
        <v>36</v>
      </c>
      <c r="M471" s="5"/>
      <c r="N471" s="5"/>
      <c r="O471" s="5" t="s">
        <v>37</v>
      </c>
      <c r="P471" s="5" t="s">
        <v>38</v>
      </c>
      <c r="Q471" s="5"/>
      <c r="S471" s="13" t="s">
        <v>73</v>
      </c>
    </row>
    <row r="472" spans="1:19" x14ac:dyDescent="0.25">
      <c r="A472" s="5" t="s">
        <v>39</v>
      </c>
      <c r="B472" s="7">
        <f>COUNT(Данные!$E$2:$E$75)</f>
        <v>74</v>
      </c>
      <c r="C472" s="5"/>
      <c r="D472" s="5"/>
      <c r="E472" s="5">
        <f>Данные!E2</f>
        <v>13</v>
      </c>
      <c r="F472" s="5">
        <f>Данные!E3</f>
        <v>12</v>
      </c>
      <c r="G472" s="5">
        <f>Данные!E22</f>
        <v>15</v>
      </c>
      <c r="H472" s="5">
        <f>Данные!E21</f>
        <v>15</v>
      </c>
      <c r="I472" s="5">
        <f>Данные!E61</f>
        <v>7</v>
      </c>
      <c r="J472" s="5"/>
      <c r="K472" s="5">
        <f>_xlfn.RANK.AVG(Данные!B2,Данные!$B$2:$B$75,1)</f>
        <v>4</v>
      </c>
      <c r="L472" s="5">
        <f>_xlfn.RANK.AVG(Данные!E2,Данные!$E$2:$E$75,1)</f>
        <v>15.5</v>
      </c>
      <c r="M472" s="5"/>
      <c r="N472" s="5"/>
      <c r="O472" s="5">
        <f>Данные!B2+(-0.105)</f>
        <v>0.89500000000000002</v>
      </c>
      <c r="P472" s="5">
        <f>Данные!E2</f>
        <v>13</v>
      </c>
      <c r="Q472" s="5"/>
      <c r="S472">
        <f>Данные!$B2+(COUNTIFS(Данные!$B$2:$B2,Данные!$B2,Данные!E$2:E2,Данные!E2)-(COUNTIFS(Данные!$B$2:$B$75,Данные!$B2,Данные!E$2:E$75,Данные!E2)+1)/2)*$S$470</f>
        <v>1</v>
      </c>
    </row>
    <row r="473" spans="1:19" x14ac:dyDescent="0.25">
      <c r="A473" s="5" t="s">
        <v>40</v>
      </c>
      <c r="B473" s="8">
        <f>CORREL(K472:K545,L472:L545)</f>
        <v>-0.3627454599045723</v>
      </c>
      <c r="C473" s="5"/>
      <c r="D473" s="5"/>
      <c r="E473" s="5">
        <f>Данные!E6</f>
        <v>16</v>
      </c>
      <c r="F473" s="5">
        <f>Данные!E4</f>
        <v>13</v>
      </c>
      <c r="G473" s="5">
        <f>Данные!E23</f>
        <v>16</v>
      </c>
      <c r="H473" s="5">
        <f>Данные!E31</f>
        <v>16</v>
      </c>
      <c r="I473" s="5">
        <f>Данные!E67</f>
        <v>6</v>
      </c>
      <c r="J473" s="5"/>
      <c r="K473" s="5">
        <f>_xlfn.RANK.AVG(Данные!B3,Данные!$B$2:$B$75,1)</f>
        <v>13.5</v>
      </c>
      <c r="L473" s="5">
        <f>_xlfn.RANK.AVG(Данные!E3,Данные!$E$2:$E$75,1)</f>
        <v>9.5</v>
      </c>
      <c r="M473" s="5"/>
      <c r="N473" s="5"/>
      <c r="O473" s="5">
        <f>Данные!B3+(-0.105)</f>
        <v>1.895</v>
      </c>
      <c r="P473" s="5">
        <f>Данные!E3</f>
        <v>12</v>
      </c>
      <c r="Q473" s="5"/>
      <c r="S473">
        <f>Данные!$B3+(COUNTIFS(Данные!$B$2:$B3,Данные!$B3,Данные!E$2:E3,Данные!E3)-(COUNTIFS(Данные!$B$2:$B$75,Данные!$B3,Данные!E$2:E$75,Данные!E3)+1)/2)*$S$470</f>
        <v>2</v>
      </c>
    </row>
    <row r="474" spans="1:19" x14ac:dyDescent="0.25">
      <c r="A474" s="5" t="s">
        <v>41</v>
      </c>
      <c r="B474" s="8">
        <f>TDIST(ABS(B473*SQRT((B472-2)/(1-B473^2))),B472-2,2)</f>
        <v>1.4918669023258075E-3</v>
      </c>
      <c r="C474" s="5"/>
      <c r="D474" s="5"/>
      <c r="E474" s="5">
        <f>Данные!E7</f>
        <v>21</v>
      </c>
      <c r="F474" s="5">
        <f>Данные!E5</f>
        <v>14</v>
      </c>
      <c r="G474" s="5">
        <f>Данные!E24</f>
        <v>21</v>
      </c>
      <c r="H474" s="5">
        <f>Данные!E36</f>
        <v>12</v>
      </c>
      <c r="I474" s="5">
        <f>Данные!E68</f>
        <v>16</v>
      </c>
      <c r="J474" s="5"/>
      <c r="K474" s="5">
        <f>_xlfn.RANK.AVG(Данные!B4,Данные!$B$2:$B$75,1)</f>
        <v>13.5</v>
      </c>
      <c r="L474" s="5">
        <f>_xlfn.RANK.AVG(Данные!E4,Данные!$E$2:$E$75,1)</f>
        <v>15.5</v>
      </c>
      <c r="M474" s="5"/>
      <c r="N474" s="5"/>
      <c r="O474" s="5">
        <f>Данные!B4+(-0.105)</f>
        <v>1.895</v>
      </c>
      <c r="P474" s="5">
        <f>Данные!E4</f>
        <v>13</v>
      </c>
      <c r="Q474" s="5"/>
      <c r="S474">
        <f>Данные!$B4+(COUNTIFS(Данные!$B$2:$B4,Данные!$B4,Данные!E$2:E4,Данные!E4)-(COUNTIFS(Данные!$B$2:$B$75,Данные!$B4,Данные!E$2:E$75,Данные!E4)+1)/2)*$S$470</f>
        <v>2</v>
      </c>
    </row>
    <row r="475" spans="1:19" x14ac:dyDescent="0.25">
      <c r="A475" s="5" t="s">
        <v>42</v>
      </c>
      <c r="B475" s="8">
        <f>INTERCEPT(Данные!$E$2:$E$75,Данные!$B$2:$B$75)</f>
        <v>19.757330006238302</v>
      </c>
      <c r="C475" s="5"/>
      <c r="D475" s="5"/>
      <c r="E475" s="5">
        <f>Данные!E8</f>
        <v>18</v>
      </c>
      <c r="F475" s="5">
        <f>Данные!E9</f>
        <v>21</v>
      </c>
      <c r="G475" s="5">
        <f>Данные!E25</f>
        <v>20</v>
      </c>
      <c r="H475" s="5">
        <f>Данные!E39</f>
        <v>14</v>
      </c>
      <c r="I475" s="5">
        <f>Данные!E71</f>
        <v>15</v>
      </c>
      <c r="J475" s="5"/>
      <c r="K475" s="5">
        <f>_xlfn.RANK.AVG(Данные!B5,Данные!$B$2:$B$75,1)</f>
        <v>13.5</v>
      </c>
      <c r="L475" s="5">
        <f>_xlfn.RANK.AVG(Данные!E5,Данные!$E$2:$E$75,1)</f>
        <v>22</v>
      </c>
      <c r="M475" s="5"/>
      <c r="N475" s="5"/>
      <c r="O475" s="5">
        <f>Данные!B5+(-0.105)</f>
        <v>1.895</v>
      </c>
      <c r="P475" s="5">
        <f>Данные!E5</f>
        <v>14</v>
      </c>
      <c r="Q475" s="5"/>
      <c r="S475">
        <f>Данные!$B5+(COUNTIFS(Данные!$B$2:$B5,Данные!$B5,Данные!E$2:E5,Данные!E5)-(COUNTIFS(Данные!$B$2:$B$75,Данные!$B5,Данные!E$2:E$75,Данные!E5)+1)/2)*$S$470</f>
        <v>2</v>
      </c>
    </row>
    <row r="476" spans="1:19" x14ac:dyDescent="0.25">
      <c r="A476" s="5" t="s">
        <v>43</v>
      </c>
      <c r="B476" s="8">
        <f>SLOPE(Данные!$E$2:$E$75,Данные!$B$2:$B$75)</f>
        <v>-1.2760449157829068</v>
      </c>
      <c r="C476" s="5"/>
      <c r="D476" s="5"/>
      <c r="E476" s="5">
        <f>Данные!E11</f>
        <v>16</v>
      </c>
      <c r="F476" s="5">
        <f>Данные!E10</f>
        <v>17</v>
      </c>
      <c r="G476" s="5">
        <f>Данные!E26</f>
        <v>14</v>
      </c>
      <c r="H476" s="5">
        <f>Данные!E41</f>
        <v>15</v>
      </c>
      <c r="I476" s="5">
        <f>Данные!E72</f>
        <v>13</v>
      </c>
      <c r="J476" s="5"/>
      <c r="K476" s="5">
        <f>_xlfn.RANK.AVG(Данные!B6,Данные!$B$2:$B$75,1)</f>
        <v>4</v>
      </c>
      <c r="L476" s="5">
        <f>_xlfn.RANK.AVG(Данные!E6,Данные!$E$2:$E$75,1)</f>
        <v>41</v>
      </c>
      <c r="M476" s="5"/>
      <c r="N476" s="5"/>
      <c r="O476" s="5">
        <f>Данные!B6+(-0.105)</f>
        <v>0.89500000000000002</v>
      </c>
      <c r="P476" s="5">
        <f>Данные!E6</f>
        <v>16</v>
      </c>
      <c r="Q476" s="5"/>
      <c r="S476">
        <f>Данные!$B6+(COUNTIFS(Данные!$B$2:$B6,Данные!$B6,Данные!E$2:E6,Данные!E6)-(COUNTIFS(Данные!$B$2:$B$75,Данные!$B6,Данные!E$2:E$75,Данные!E6)+1)/2)*$S$470</f>
        <v>0.96</v>
      </c>
    </row>
    <row r="477" spans="1:19" x14ac:dyDescent="0.25">
      <c r="A477" s="5" t="s">
        <v>44</v>
      </c>
      <c r="B477" s="8">
        <f>RSQ(Данные!$E$2:$E$75,Данные!$B$2:$B$75)</f>
        <v>0.14142554590560982</v>
      </c>
      <c r="C477" s="5"/>
      <c r="D477" s="5"/>
      <c r="E477" s="5">
        <f>Данные!E13</f>
        <v>22</v>
      </c>
      <c r="F477" s="5">
        <f>Данные!E12</f>
        <v>22</v>
      </c>
      <c r="G477" s="5">
        <f>Данные!E27</f>
        <v>15</v>
      </c>
      <c r="H477" s="5">
        <f>Данные!E43</f>
        <v>12</v>
      </c>
      <c r="I477" s="5">
        <f>Данные!E73</f>
        <v>19</v>
      </c>
      <c r="J477" s="5"/>
      <c r="K477" s="5">
        <f>_xlfn.RANK.AVG(Данные!B7,Данные!$B$2:$B$75,1)</f>
        <v>4</v>
      </c>
      <c r="L477" s="5">
        <f>_xlfn.RANK.AVG(Данные!E7,Данные!$E$2:$E$75,1)</f>
        <v>68</v>
      </c>
      <c r="M477" s="5"/>
      <c r="N477" s="5"/>
      <c r="O477" s="5">
        <f>Данные!B7+(-0.105)</f>
        <v>0.89500000000000002</v>
      </c>
      <c r="P477" s="5">
        <f>Данные!E7</f>
        <v>21</v>
      </c>
      <c r="Q477" s="5"/>
      <c r="S477">
        <f>Данные!$B7+(COUNTIFS(Данные!$B$2:$B7,Данные!$B7,Данные!E$2:E7,Данные!E7)-(COUNTIFS(Данные!$B$2:$B$75,Данные!$B7,Данные!E$2:E$75,Данные!E7)+1)/2)*$S$470</f>
        <v>1</v>
      </c>
    </row>
    <row r="478" spans="1:19" x14ac:dyDescent="0.25">
      <c r="A478" s="5" t="s">
        <v>45</v>
      </c>
      <c r="B478" s="8">
        <f>STEYX(Данные!$E$2:$E$75,Данные!$B$2:$B$75)</f>
        <v>3.4490989950205844</v>
      </c>
      <c r="C478" s="5"/>
      <c r="D478" s="5"/>
      <c r="E478" s="5">
        <f>Данные!E14</f>
        <v>18</v>
      </c>
      <c r="F478" s="5">
        <f>Данные!E15</f>
        <v>17</v>
      </c>
      <c r="G478" s="5">
        <f>Данные!E28</f>
        <v>14</v>
      </c>
      <c r="H478" s="5">
        <f>Данные!E46</f>
        <v>17</v>
      </c>
      <c r="I478" s="5"/>
      <c r="J478" s="5"/>
      <c r="K478" s="5">
        <f>_xlfn.RANK.AVG(Данные!B8,Данные!$B$2:$B$75,1)</f>
        <v>4</v>
      </c>
      <c r="L478" s="5">
        <f>_xlfn.RANK.AVG(Данные!E8,Данные!$E$2:$E$75,1)</f>
        <v>56</v>
      </c>
      <c r="M478" s="5"/>
      <c r="N478" s="5"/>
      <c r="O478" s="5">
        <f>Данные!B8+(-0.105)</f>
        <v>0.89500000000000002</v>
      </c>
      <c r="P478" s="5">
        <f>Данные!E8</f>
        <v>18</v>
      </c>
      <c r="Q478" s="5"/>
      <c r="S478">
        <f>Данные!$B8+(COUNTIFS(Данные!$B$2:$B8,Данные!$B8,Данные!E$2:E8,Данные!E8)-(COUNTIFS(Данные!$B$2:$B$75,Данные!$B8,Данные!E$2:E$75,Данные!E8)+1)/2)*$S$470</f>
        <v>0.96</v>
      </c>
    </row>
    <row r="479" spans="1:19" x14ac:dyDescent="0.25">
      <c r="A479" s="5" t="s">
        <v>46</v>
      </c>
      <c r="B479" s="8">
        <f>B478/SQRT(DEVSQ(Данные!$B$2:$B$75))</f>
        <v>0.37053118261237278</v>
      </c>
      <c r="C479" s="5"/>
      <c r="D479" s="5"/>
      <c r="E479" s="5"/>
      <c r="F479" s="5">
        <f>Данные!E16</f>
        <v>18</v>
      </c>
      <c r="G479" s="5">
        <f>Данные!E29</f>
        <v>18</v>
      </c>
      <c r="H479" s="5">
        <f>Данные!E48</f>
        <v>16</v>
      </c>
      <c r="I479" s="5"/>
      <c r="J479" s="5"/>
      <c r="K479" s="5">
        <f>_xlfn.RANK.AVG(Данные!B9,Данные!$B$2:$B$75,1)</f>
        <v>13.5</v>
      </c>
      <c r="L479" s="5">
        <f>_xlfn.RANK.AVG(Данные!E9,Данные!$E$2:$E$75,1)</f>
        <v>68</v>
      </c>
      <c r="M479" s="5"/>
      <c r="N479" s="5"/>
      <c r="O479" s="5">
        <f>Данные!B9+(-0.105)</f>
        <v>1.895</v>
      </c>
      <c r="P479" s="5">
        <f>Данные!E9</f>
        <v>21</v>
      </c>
      <c r="Q479" s="5"/>
      <c r="S479">
        <f>Данные!$B9+(COUNTIFS(Данные!$B$2:$B9,Данные!$B9,Данные!E$2:E9,Данные!E9)-(COUNTIFS(Данные!$B$2:$B$75,Данные!$B9,Данные!E$2:E$75,Данные!E9)+1)/2)*$S$470</f>
        <v>2</v>
      </c>
    </row>
    <row r="480" spans="1:19" x14ac:dyDescent="0.25">
      <c r="A480" s="5" t="s">
        <v>47</v>
      </c>
      <c r="B480" s="8">
        <f>B472-2</f>
        <v>72</v>
      </c>
      <c r="C480" s="5"/>
      <c r="D480" s="5"/>
      <c r="E480" s="5"/>
      <c r="F480" s="5">
        <f>Данные!E17</f>
        <v>24</v>
      </c>
      <c r="G480" s="5">
        <f>Данные!E30</f>
        <v>18</v>
      </c>
      <c r="H480" s="5">
        <f>Данные!E53</f>
        <v>8</v>
      </c>
      <c r="I480" s="5"/>
      <c r="J480" s="5"/>
      <c r="K480" s="5">
        <f>_xlfn.RANK.AVG(Данные!B10,Данные!$B$2:$B$75,1)</f>
        <v>13.5</v>
      </c>
      <c r="L480" s="5">
        <f>_xlfn.RANK.AVG(Данные!E10,Данные!$E$2:$E$75,1)</f>
        <v>49</v>
      </c>
      <c r="M480" s="5"/>
      <c r="N480" s="5"/>
      <c r="O480" s="5">
        <f>Данные!B10+(-0.105)</f>
        <v>1.895</v>
      </c>
      <c r="P480" s="5">
        <f>Данные!E10</f>
        <v>17</v>
      </c>
      <c r="Q480" s="5"/>
      <c r="S480">
        <f>Данные!$B10+(COUNTIFS(Данные!$B$2:$B10,Данные!$B10,Данные!E$2:E10,Данные!E10)-(COUNTIFS(Данные!$B$2:$B$75,Данные!$B10,Данные!E$2:E$75,Данные!E10)+1)/2)*$S$470</f>
        <v>1.96</v>
      </c>
    </row>
    <row r="481" spans="1:19" x14ac:dyDescent="0.25">
      <c r="A481" s="5" t="s">
        <v>48</v>
      </c>
      <c r="B481" s="8">
        <f>B476/B479</f>
        <v>-3.443825987293025</v>
      </c>
      <c r="C481" s="5"/>
      <c r="D481" s="5"/>
      <c r="E481" s="5"/>
      <c r="F481" s="5">
        <f>Данные!E18</f>
        <v>16</v>
      </c>
      <c r="G481" s="5">
        <f>Данные!E32</f>
        <v>14</v>
      </c>
      <c r="H481" s="5">
        <f>Данные!E55</f>
        <v>19</v>
      </c>
      <c r="I481" s="5"/>
      <c r="J481" s="5"/>
      <c r="K481" s="5">
        <f>_xlfn.RANK.AVG(Данные!B11,Данные!$B$2:$B$75,1)</f>
        <v>4</v>
      </c>
      <c r="L481" s="5">
        <f>_xlfn.RANK.AVG(Данные!E11,Данные!$E$2:$E$75,1)</f>
        <v>41</v>
      </c>
      <c r="M481" s="5"/>
      <c r="N481" s="5"/>
      <c r="O481" s="5">
        <f>Данные!B11+(-0.07)</f>
        <v>0.92999999999999994</v>
      </c>
      <c r="P481" s="5">
        <f>Данные!E11</f>
        <v>16</v>
      </c>
      <c r="Q481" s="5"/>
      <c r="S481">
        <f>Данные!$B11+(COUNTIFS(Данные!$B$2:$B11,Данные!$B11,Данные!E$2:E11,Данные!E11)-(COUNTIFS(Данные!$B$2:$B$75,Данные!$B11,Данные!E$2:E$75,Данные!E11)+1)/2)*$S$470</f>
        <v>1.04</v>
      </c>
    </row>
    <row r="482" spans="1:19" x14ac:dyDescent="0.25">
      <c r="A482" s="5" t="s">
        <v>49</v>
      </c>
      <c r="B482" s="8">
        <f>TDIST(ABS(B481),B480,2)</f>
        <v>9.5972932835492071E-4</v>
      </c>
      <c r="C482" s="5"/>
      <c r="D482" s="5"/>
      <c r="E482" s="5"/>
      <c r="F482" s="5">
        <f>Данные!E19</f>
        <v>15</v>
      </c>
      <c r="G482" s="5">
        <f>Данные!E33</f>
        <v>18</v>
      </c>
      <c r="H482" s="5">
        <f>Данные!E56</f>
        <v>19</v>
      </c>
      <c r="I482" s="5"/>
      <c r="J482" s="5"/>
      <c r="K482" s="5">
        <f>_xlfn.RANK.AVG(Данные!B12,Данные!$B$2:$B$75,1)</f>
        <v>13.5</v>
      </c>
      <c r="L482" s="5">
        <f>_xlfn.RANK.AVG(Данные!E12,Данные!$E$2:$E$75,1)</f>
        <v>70.5</v>
      </c>
      <c r="M482" s="5"/>
      <c r="N482" s="5"/>
      <c r="O482" s="5">
        <f>Данные!B12+(-0.105)</f>
        <v>1.895</v>
      </c>
      <c r="P482" s="5">
        <f>Данные!E12</f>
        <v>22</v>
      </c>
      <c r="Q482" s="5"/>
      <c r="S482">
        <f>Данные!$B12+(COUNTIFS(Данные!$B$2:$B12,Данные!$B12,Данные!E$2:E12,Данные!E12)-(COUNTIFS(Данные!$B$2:$B$75,Данные!$B12,Данные!E$2:E$75,Данные!E12)+1)/2)*$S$470</f>
        <v>2</v>
      </c>
    </row>
    <row r="483" spans="1:19" x14ac:dyDescent="0.25">
      <c r="A483" s="5" t="s">
        <v>50</v>
      </c>
      <c r="B483" s="8">
        <f>Q650</f>
        <v>1.9934635664685629</v>
      </c>
      <c r="C483" s="5"/>
      <c r="D483" s="5"/>
      <c r="E483" s="5"/>
      <c r="F483" s="5">
        <f>Данные!E20</f>
        <v>18</v>
      </c>
      <c r="G483" s="5">
        <f>Данные!E34</f>
        <v>20</v>
      </c>
      <c r="H483" s="5">
        <f>Данные!E57</f>
        <v>15</v>
      </c>
      <c r="I483" s="5"/>
      <c r="J483" s="5"/>
      <c r="K483" s="5">
        <f>_xlfn.RANK.AVG(Данные!B13,Данные!$B$2:$B$75,1)</f>
        <v>4</v>
      </c>
      <c r="L483" s="5">
        <f>_xlfn.RANK.AVG(Данные!E13,Данные!$E$2:$E$75,1)</f>
        <v>70.5</v>
      </c>
      <c r="M483" s="5"/>
      <c r="N483" s="5"/>
      <c r="O483" s="5">
        <f>Данные!B13+(-0.105)</f>
        <v>0.89500000000000002</v>
      </c>
      <c r="P483" s="5">
        <f>Данные!E13</f>
        <v>22</v>
      </c>
      <c r="Q483" s="5"/>
      <c r="S483">
        <f>Данные!$B13+(COUNTIFS(Данные!$B$2:$B13,Данные!$B13,Данные!E$2:E13,Данные!E13)-(COUNTIFS(Данные!$B$2:$B$75,Данные!$B13,Данные!E$2:E$75,Данные!E13)+1)/2)*$S$470</f>
        <v>1</v>
      </c>
    </row>
    <row r="484" spans="1:19" x14ac:dyDescent="0.25">
      <c r="A484" s="5"/>
      <c r="B484" s="5"/>
      <c r="C484" s="5"/>
      <c r="D484" s="5"/>
      <c r="E484" s="5"/>
      <c r="F484" s="5"/>
      <c r="G484" s="5">
        <f>Данные!E35</f>
        <v>13</v>
      </c>
      <c r="H484" s="5">
        <f>Данные!E58</f>
        <v>16</v>
      </c>
      <c r="I484" s="5"/>
      <c r="J484" s="5"/>
      <c r="K484" s="5">
        <f>_xlfn.RANK.AVG(Данные!B14,Данные!$B$2:$B$75,1)</f>
        <v>4</v>
      </c>
      <c r="L484" s="5">
        <f>_xlfn.RANK.AVG(Данные!E14,Данные!$E$2:$E$75,1)</f>
        <v>56</v>
      </c>
      <c r="M484" s="5"/>
      <c r="N484" s="5"/>
      <c r="O484" s="5">
        <f>Данные!B14+(-0.07)</f>
        <v>0.92999999999999994</v>
      </c>
      <c r="P484" s="5">
        <f>Данные!E14</f>
        <v>18</v>
      </c>
      <c r="Q484" s="5"/>
      <c r="S484">
        <f>Данные!$B14+(COUNTIFS(Данные!$B$2:$B14,Данные!$B14,Данные!E$2:E14,Данные!E14)-(COUNTIFS(Данные!$B$2:$B$75,Данные!$B14,Данные!E$2:E$75,Данные!E14)+1)/2)*$S$470</f>
        <v>1.04</v>
      </c>
    </row>
    <row r="485" spans="1:19" x14ac:dyDescent="0.25">
      <c r="A485" s="5"/>
      <c r="B485" s="5"/>
      <c r="C485" s="5"/>
      <c r="D485" s="5"/>
      <c r="E485" s="5"/>
      <c r="F485" s="5"/>
      <c r="G485" s="5">
        <f>Данные!E37</f>
        <v>13</v>
      </c>
      <c r="H485" s="5">
        <f>Данные!E59</f>
        <v>17</v>
      </c>
      <c r="I485" s="5"/>
      <c r="J485" s="5"/>
      <c r="K485" s="5">
        <f>_xlfn.RANK.AVG(Данные!B15,Данные!$B$2:$B$75,1)</f>
        <v>13.5</v>
      </c>
      <c r="L485" s="5">
        <f>_xlfn.RANK.AVG(Данные!E15,Данные!$E$2:$E$75,1)</f>
        <v>49</v>
      </c>
      <c r="M485" s="5"/>
      <c r="N485" s="5"/>
      <c r="O485" s="5">
        <f>Данные!B15+(-0.07)</f>
        <v>1.93</v>
      </c>
      <c r="P485" s="5">
        <f>Данные!E15</f>
        <v>17</v>
      </c>
      <c r="Q485" s="5"/>
      <c r="S485">
        <f>Данные!$B15+(COUNTIFS(Данные!$B$2:$B15,Данные!$B15,Данные!E$2:E15,Данные!E15)-(COUNTIFS(Данные!$B$2:$B$75,Данные!$B15,Данные!E$2:E$75,Данные!E15)+1)/2)*$S$470</f>
        <v>2.04</v>
      </c>
    </row>
    <row r="486" spans="1:19" x14ac:dyDescent="0.25">
      <c r="A486" s="5"/>
      <c r="B486" s="5"/>
      <c r="C486" s="5"/>
      <c r="D486" s="5"/>
      <c r="E486" s="5"/>
      <c r="F486" s="5"/>
      <c r="G486" s="5">
        <f>Данные!E38</f>
        <v>16</v>
      </c>
      <c r="H486" s="5">
        <f>Данные!E60</f>
        <v>24</v>
      </c>
      <c r="I486" s="5"/>
      <c r="J486" s="5"/>
      <c r="K486" s="5">
        <f>_xlfn.RANK.AVG(Данные!B16,Данные!$B$2:$B$75,1)</f>
        <v>13.5</v>
      </c>
      <c r="L486" s="5">
        <f>_xlfn.RANK.AVG(Данные!E16,Данные!$E$2:$E$75,1)</f>
        <v>56</v>
      </c>
      <c r="M486" s="5"/>
      <c r="N486" s="5"/>
      <c r="O486" s="5">
        <f>Данные!B16+(-0.105)</f>
        <v>1.895</v>
      </c>
      <c r="P486" s="5">
        <f>Данные!E16</f>
        <v>18</v>
      </c>
      <c r="Q486" s="5"/>
      <c r="S486">
        <f>Данные!$B16+(COUNTIFS(Данные!$B$2:$B16,Данные!$B16,Данные!E$2:E16,Данные!E16)-(COUNTIFS(Данные!$B$2:$B$75,Данные!$B16,Данные!E$2:E$75,Данные!E16)+1)/2)*$S$470</f>
        <v>1.96</v>
      </c>
    </row>
    <row r="487" spans="1:19" x14ac:dyDescent="0.25">
      <c r="A487" s="5"/>
      <c r="B487" s="5"/>
      <c r="C487" s="5"/>
      <c r="D487" s="5"/>
      <c r="E487" s="5"/>
      <c r="F487" s="5"/>
      <c r="G487" s="5">
        <f>Данные!E40</f>
        <v>24</v>
      </c>
      <c r="H487" s="5">
        <f>Данные!E62</f>
        <v>10</v>
      </c>
      <c r="I487" s="5"/>
      <c r="J487" s="5"/>
      <c r="K487" s="5">
        <f>_xlfn.RANK.AVG(Данные!B17,Данные!$B$2:$B$75,1)</f>
        <v>13.5</v>
      </c>
      <c r="L487" s="5">
        <f>_xlfn.RANK.AVG(Данные!E17,Данные!$E$2:$E$75,1)</f>
        <v>73</v>
      </c>
      <c r="M487" s="5"/>
      <c r="N487" s="5"/>
      <c r="O487" s="5">
        <f>Данные!B17+(-0.105)</f>
        <v>1.895</v>
      </c>
      <c r="P487" s="5">
        <f>Данные!E17</f>
        <v>24</v>
      </c>
      <c r="Q487" s="5"/>
      <c r="S487">
        <f>Данные!$B17+(COUNTIFS(Данные!$B$2:$B17,Данные!$B17,Данные!E$2:E17,Данные!E17)-(COUNTIFS(Данные!$B$2:$B$75,Данные!$B17,Данные!E$2:E$75,Данные!E17)+1)/2)*$S$470</f>
        <v>2</v>
      </c>
    </row>
    <row r="488" spans="1:19" x14ac:dyDescent="0.25">
      <c r="A488" s="5"/>
      <c r="B488" s="5"/>
      <c r="C488" s="5"/>
      <c r="D488" s="5"/>
      <c r="E488" s="5"/>
      <c r="F488" s="5"/>
      <c r="G488" s="5">
        <f>Данные!E42</f>
        <v>18</v>
      </c>
      <c r="H488" s="5">
        <f>Данные!E63</f>
        <v>14</v>
      </c>
      <c r="I488" s="5"/>
      <c r="J488" s="5"/>
      <c r="K488" s="5">
        <f>_xlfn.RANK.AVG(Данные!B18,Данные!$B$2:$B$75,1)</f>
        <v>13.5</v>
      </c>
      <c r="L488" s="5">
        <f>_xlfn.RANK.AVG(Данные!E18,Данные!$E$2:$E$75,1)</f>
        <v>41</v>
      </c>
      <c r="M488" s="5"/>
      <c r="N488" s="5"/>
      <c r="O488" s="5">
        <f>Данные!B18+(-0.105)</f>
        <v>1.895</v>
      </c>
      <c r="P488" s="5">
        <f>Данные!E18</f>
        <v>16</v>
      </c>
      <c r="Q488" s="5"/>
      <c r="S488">
        <f>Данные!$B18+(COUNTIFS(Данные!$B$2:$B18,Данные!$B18,Данные!E$2:E18,Данные!E18)-(COUNTIFS(Данные!$B$2:$B$75,Данные!$B18,Данные!E$2:E$75,Данные!E18)+1)/2)*$S$470</f>
        <v>2</v>
      </c>
    </row>
    <row r="489" spans="1:19" x14ac:dyDescent="0.25">
      <c r="A489" s="5"/>
      <c r="B489" s="5"/>
      <c r="C489" s="5"/>
      <c r="D489" s="5"/>
      <c r="E489" s="5"/>
      <c r="F489" s="5"/>
      <c r="G489" s="5">
        <f>Данные!E44</f>
        <v>18</v>
      </c>
      <c r="H489" s="5">
        <f>Данные!E64</f>
        <v>12</v>
      </c>
      <c r="I489" s="5"/>
      <c r="J489" s="5"/>
      <c r="K489" s="5">
        <f>_xlfn.RANK.AVG(Данные!B19,Данные!$B$2:$B$75,1)</f>
        <v>13.5</v>
      </c>
      <c r="L489" s="5">
        <f>_xlfn.RANK.AVG(Данные!E19,Данные!$E$2:$E$75,1)</f>
        <v>30.5</v>
      </c>
      <c r="M489" s="5"/>
      <c r="N489" s="5"/>
      <c r="O489" s="5">
        <f>Данные!B19+(-0.105)</f>
        <v>1.895</v>
      </c>
      <c r="P489" s="5">
        <f>Данные!E19</f>
        <v>15</v>
      </c>
      <c r="Q489" s="5"/>
      <c r="S489">
        <f>Данные!$B19+(COUNTIFS(Данные!$B$2:$B19,Данные!$B19,Данные!E$2:E19,Данные!E19)-(COUNTIFS(Данные!$B$2:$B$75,Данные!$B19,Данные!E$2:E$75,Данные!E19)+1)/2)*$S$470</f>
        <v>2</v>
      </c>
    </row>
    <row r="490" spans="1:19" x14ac:dyDescent="0.25">
      <c r="A490" s="5"/>
      <c r="B490" s="5"/>
      <c r="C490" s="5"/>
      <c r="D490" s="5"/>
      <c r="E490" s="5"/>
      <c r="F490" s="5"/>
      <c r="G490" s="5">
        <f>Данные!E45</f>
        <v>15</v>
      </c>
      <c r="H490" s="5">
        <f>Данные!E65</f>
        <v>12</v>
      </c>
      <c r="I490" s="5"/>
      <c r="J490" s="5"/>
      <c r="K490" s="5">
        <f>_xlfn.RANK.AVG(Данные!B20,Данные!$B$2:$B$75,1)</f>
        <v>13.5</v>
      </c>
      <c r="L490" s="5">
        <f>_xlfn.RANK.AVG(Данные!E20,Данные!$E$2:$E$75,1)</f>
        <v>56</v>
      </c>
      <c r="M490" s="5"/>
      <c r="N490" s="5"/>
      <c r="O490" s="5">
        <f>Данные!B20+(-0.07)</f>
        <v>1.93</v>
      </c>
      <c r="P490" s="5">
        <f>Данные!E20</f>
        <v>18</v>
      </c>
      <c r="Q490" s="5"/>
      <c r="S490">
        <f>Данные!$B20+(COUNTIFS(Данные!$B$2:$B20,Данные!$B20,Данные!E$2:E20,Данные!E20)-(COUNTIFS(Данные!$B$2:$B$75,Данные!$B20,Данные!E$2:E$75,Данные!E20)+1)/2)*$S$470</f>
        <v>2.04</v>
      </c>
    </row>
    <row r="491" spans="1:19" x14ac:dyDescent="0.25">
      <c r="A491" s="5"/>
      <c r="B491" s="5"/>
      <c r="C491" s="5"/>
      <c r="D491" s="5"/>
      <c r="E491" s="5"/>
      <c r="F491" s="5"/>
      <c r="G491" s="5">
        <f>Данные!E47</f>
        <v>12</v>
      </c>
      <c r="H491" s="5">
        <f>Данные!E66</f>
        <v>15</v>
      </c>
      <c r="I491" s="5"/>
      <c r="J491" s="5"/>
      <c r="K491" s="5">
        <f>_xlfn.RANK.AVG(Данные!B21,Данные!$B$2:$B$75,1)</f>
        <v>56.5</v>
      </c>
      <c r="L491" s="5">
        <f>_xlfn.RANK.AVG(Данные!E21,Данные!$E$2:$E$75,1)</f>
        <v>30.5</v>
      </c>
      <c r="M491" s="5"/>
      <c r="N491" s="5"/>
      <c r="O491" s="5">
        <f>Данные!B21+(-0.105)</f>
        <v>3.895</v>
      </c>
      <c r="P491" s="5">
        <f>Данные!E21</f>
        <v>15</v>
      </c>
      <c r="Q491" s="5"/>
      <c r="S491">
        <f>Данные!$B21+(COUNTIFS(Данные!$B$2:$B21,Данные!$B21,Данные!E$2:E21,Данные!E21)-(COUNTIFS(Данные!$B$2:$B$75,Данные!$B21,Данные!E$2:E$75,Данные!E21)+1)/2)*$S$470</f>
        <v>3.84</v>
      </c>
    </row>
    <row r="492" spans="1:19" x14ac:dyDescent="0.25">
      <c r="A492" s="5"/>
      <c r="B492" s="5"/>
      <c r="C492" s="5"/>
      <c r="D492" s="5"/>
      <c r="E492" s="5"/>
      <c r="F492" s="5"/>
      <c r="G492" s="5">
        <f>Данные!E49</f>
        <v>9</v>
      </c>
      <c r="H492" s="5">
        <f>Данные!E69</f>
        <v>14</v>
      </c>
      <c r="I492" s="5"/>
      <c r="J492" s="5"/>
      <c r="K492" s="5">
        <f>_xlfn.RANK.AVG(Данные!B22,Данные!$B$2:$B$75,1)</f>
        <v>32</v>
      </c>
      <c r="L492" s="5">
        <f>_xlfn.RANK.AVG(Данные!E22,Данные!$E$2:$E$75,1)</f>
        <v>30.5</v>
      </c>
      <c r="M492" s="5"/>
      <c r="N492" s="5"/>
      <c r="O492" s="5">
        <f>Данные!B22+(-0.105)</f>
        <v>2.895</v>
      </c>
      <c r="P492" s="5">
        <f>Данные!E22</f>
        <v>15</v>
      </c>
      <c r="Q492" s="5"/>
      <c r="S492">
        <f>Данные!$B22+(COUNTIFS(Данные!$B$2:$B22,Данные!$B22,Данные!E$2:E22,Данные!E22)-(COUNTIFS(Данные!$B$2:$B$75,Данные!$B22,Данные!E$2:E$75,Данные!E22)+1)/2)*$S$470</f>
        <v>2.92</v>
      </c>
    </row>
    <row r="493" spans="1:19" x14ac:dyDescent="0.25">
      <c r="A493" s="5"/>
      <c r="B493" s="5"/>
      <c r="C493" s="5"/>
      <c r="D493" s="5"/>
      <c r="E493" s="5"/>
      <c r="F493" s="5"/>
      <c r="G493" s="5">
        <f>Данные!E50</f>
        <v>16</v>
      </c>
      <c r="H493" s="5">
        <f>Данные!E70</f>
        <v>15</v>
      </c>
      <c r="I493" s="5"/>
      <c r="J493" s="5"/>
      <c r="K493" s="5">
        <f>_xlfn.RANK.AVG(Данные!B23,Данные!$B$2:$B$75,1)</f>
        <v>32</v>
      </c>
      <c r="L493" s="5">
        <f>_xlfn.RANK.AVG(Данные!E23,Данные!$E$2:$E$75,1)</f>
        <v>41</v>
      </c>
      <c r="M493" s="5"/>
      <c r="N493" s="5"/>
      <c r="O493" s="5">
        <f>Данные!B23+(-0.105)</f>
        <v>2.895</v>
      </c>
      <c r="P493" s="5">
        <f>Данные!E23</f>
        <v>16</v>
      </c>
      <c r="Q493" s="5"/>
      <c r="S493">
        <f>Данные!$B23+(COUNTIFS(Данные!$B$2:$B23,Данные!$B23,Данные!E$2:E23,Данные!E23)-(COUNTIFS(Данные!$B$2:$B$75,Данные!$B23,Данные!E$2:E$75,Данные!E23)+1)/2)*$S$470</f>
        <v>2.88</v>
      </c>
    </row>
    <row r="494" spans="1:19" x14ac:dyDescent="0.25">
      <c r="A494" s="5"/>
      <c r="B494" s="5"/>
      <c r="C494" s="5"/>
      <c r="D494" s="5"/>
      <c r="E494" s="5"/>
      <c r="F494" s="5"/>
      <c r="G494" s="5">
        <f>Данные!E51</f>
        <v>19</v>
      </c>
      <c r="H494" s="5">
        <f>Данные!E74</f>
        <v>13</v>
      </c>
      <c r="I494" s="5"/>
      <c r="J494" s="5"/>
      <c r="K494" s="5">
        <f>_xlfn.RANK.AVG(Данные!B24,Данные!$B$2:$B$75,1)</f>
        <v>32</v>
      </c>
      <c r="L494" s="5">
        <f>_xlfn.RANK.AVG(Данные!E24,Данные!$E$2:$E$75,1)</f>
        <v>68</v>
      </c>
      <c r="M494" s="5"/>
      <c r="N494" s="5"/>
      <c r="O494" s="5">
        <f>Данные!B24+(-0.105)</f>
        <v>2.895</v>
      </c>
      <c r="P494" s="5">
        <f>Данные!E24</f>
        <v>21</v>
      </c>
      <c r="Q494" s="5"/>
      <c r="S494">
        <f>Данные!$B24+(COUNTIFS(Данные!$B$2:$B24,Данные!$B24,Данные!E$2:E24,Данные!E24)-(COUNTIFS(Данные!$B$2:$B$75,Данные!$B24,Данные!E$2:E$75,Данные!E24)+1)/2)*$S$470</f>
        <v>3</v>
      </c>
    </row>
    <row r="495" spans="1:19" x14ac:dyDescent="0.25">
      <c r="A495" s="5"/>
      <c r="B495" s="5"/>
      <c r="C495" s="5"/>
      <c r="D495" s="5"/>
      <c r="E495" s="5"/>
      <c r="F495" s="5"/>
      <c r="G495" s="5">
        <f>Данные!E52</f>
        <v>16</v>
      </c>
      <c r="H495" s="5">
        <f>Данные!E75</f>
        <v>10</v>
      </c>
      <c r="I495" s="5"/>
      <c r="J495" s="5"/>
      <c r="K495" s="5">
        <f>_xlfn.RANK.AVG(Данные!B25,Данные!$B$2:$B$75,1)</f>
        <v>32</v>
      </c>
      <c r="L495" s="5">
        <f>_xlfn.RANK.AVG(Данные!E25,Данные!$E$2:$E$75,1)</f>
        <v>65.5</v>
      </c>
      <c r="M495" s="5"/>
      <c r="N495" s="5"/>
      <c r="O495" s="5">
        <f>Данные!B25+(-0.105)</f>
        <v>2.895</v>
      </c>
      <c r="P495" s="5">
        <f>Данные!E25</f>
        <v>20</v>
      </c>
      <c r="Q495" s="5"/>
      <c r="S495">
        <f>Данные!$B25+(COUNTIFS(Данные!$B$2:$B25,Данные!$B25,Данные!E$2:E25,Данные!E25)-(COUNTIFS(Данные!$B$2:$B$75,Данные!$B25,Данные!E$2:E$75,Данные!E25)+1)/2)*$S$470</f>
        <v>2.96</v>
      </c>
    </row>
    <row r="496" spans="1:19" x14ac:dyDescent="0.25">
      <c r="A496" s="5"/>
      <c r="B496" s="5"/>
      <c r="C496" s="5"/>
      <c r="D496" s="5"/>
      <c r="E496" s="5"/>
      <c r="F496" s="5"/>
      <c r="G496" s="5">
        <f>Данные!E54</f>
        <v>17</v>
      </c>
      <c r="H496" s="5"/>
      <c r="I496" s="5"/>
      <c r="J496" s="5"/>
      <c r="K496" s="5">
        <f>_xlfn.RANK.AVG(Данные!B26,Данные!$B$2:$B$75,1)</f>
        <v>32</v>
      </c>
      <c r="L496" s="5">
        <f>_xlfn.RANK.AVG(Данные!E26,Данные!$E$2:$E$75,1)</f>
        <v>22</v>
      </c>
      <c r="M496" s="5"/>
      <c r="N496" s="5"/>
      <c r="O496" s="5">
        <f>Данные!B26+(-0.105)</f>
        <v>2.895</v>
      </c>
      <c r="P496" s="5">
        <f>Данные!E26</f>
        <v>14</v>
      </c>
      <c r="Q496" s="5"/>
      <c r="S496">
        <f>Данные!$B26+(COUNTIFS(Данные!$B$2:$B26,Данные!$B26,Данные!E$2:E26,Данные!E26)-(COUNTIFS(Данные!$B$2:$B$75,Данные!$B26,Данные!E$2:E$75,Данные!E26)+1)/2)*$S$470</f>
        <v>2.92</v>
      </c>
    </row>
    <row r="497" spans="1:19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>
        <f>_xlfn.RANK.AVG(Данные!B27,Данные!$B$2:$B$75,1)</f>
        <v>32</v>
      </c>
      <c r="L497" s="5">
        <f>_xlfn.RANK.AVG(Данные!E27,Данные!$E$2:$E$75,1)</f>
        <v>30.5</v>
      </c>
      <c r="M497" s="5"/>
      <c r="N497" s="5"/>
      <c r="O497" s="5">
        <f>Данные!B27+(-0.07)</f>
        <v>2.93</v>
      </c>
      <c r="P497" s="5">
        <f>Данные!E27</f>
        <v>15</v>
      </c>
      <c r="Q497" s="5"/>
      <c r="S497">
        <f>Данные!$B27+(COUNTIFS(Данные!$B$2:$B27,Данные!$B27,Данные!E$2:E27,Данные!E27)-(COUNTIFS(Данные!$B$2:$B$75,Данные!$B27,Данные!E$2:E$75,Данные!E27)+1)/2)*$S$470</f>
        <v>3</v>
      </c>
    </row>
    <row r="498" spans="1:19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>
        <f>_xlfn.RANK.AVG(Данные!B28,Данные!$B$2:$B$75,1)</f>
        <v>32</v>
      </c>
      <c r="L498" s="5">
        <f>_xlfn.RANK.AVG(Данные!E28,Данные!$E$2:$E$75,1)</f>
        <v>22</v>
      </c>
      <c r="M498" s="5"/>
      <c r="N498" s="5"/>
      <c r="O498" s="5">
        <f>Данные!B28+(-0.07)</f>
        <v>2.93</v>
      </c>
      <c r="P498" s="5">
        <f>Данные!E28</f>
        <v>14</v>
      </c>
      <c r="Q498" s="5"/>
      <c r="S498">
        <f>Данные!$B28+(COUNTIFS(Данные!$B$2:$B28,Данные!$B28,Данные!E$2:E28,Данные!E28)-(COUNTIFS(Данные!$B$2:$B$75,Данные!$B28,Данные!E$2:E$75,Данные!E28)+1)/2)*$S$470</f>
        <v>3</v>
      </c>
    </row>
    <row r="499" spans="1:19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>
        <f>_xlfn.RANK.AVG(Данные!B29,Данные!$B$2:$B$75,1)</f>
        <v>32</v>
      </c>
      <c r="L499" s="5">
        <f>_xlfn.RANK.AVG(Данные!E29,Данные!$E$2:$E$75,1)</f>
        <v>56</v>
      </c>
      <c r="M499" s="5"/>
      <c r="N499" s="5"/>
      <c r="O499" s="5">
        <f>Данные!B29+(-0.105)</f>
        <v>2.895</v>
      </c>
      <c r="P499" s="5">
        <f>Данные!E29</f>
        <v>18</v>
      </c>
      <c r="Q499" s="5"/>
      <c r="S499">
        <f>Данные!$B29+(COUNTIFS(Данные!$B$2:$B29,Данные!$B29,Данные!E$2:E29,Данные!E29)-(COUNTIFS(Данные!$B$2:$B$75,Данные!$B29,Данные!E$2:E$75,Данные!E29)+1)/2)*$S$470</f>
        <v>2.84</v>
      </c>
    </row>
    <row r="500" spans="1:19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>
        <f>_xlfn.RANK.AVG(Данные!B30,Данные!$B$2:$B$75,1)</f>
        <v>32</v>
      </c>
      <c r="L500" s="5">
        <f>_xlfn.RANK.AVG(Данные!E30,Данные!$E$2:$E$75,1)</f>
        <v>56</v>
      </c>
      <c r="M500" s="5"/>
      <c r="N500" s="5"/>
      <c r="O500" s="5">
        <f>Данные!B30+(-0.07)</f>
        <v>2.93</v>
      </c>
      <c r="P500" s="5">
        <f>Данные!E30</f>
        <v>18</v>
      </c>
      <c r="Q500" s="5"/>
      <c r="S500">
        <f>Данные!$B30+(COUNTIFS(Данные!$B$2:$B30,Данные!$B30,Данные!E$2:E30,Данные!E30)-(COUNTIFS(Данные!$B$2:$B$75,Данные!$B30,Данные!E$2:E$75,Данные!E30)+1)/2)*$S$470</f>
        <v>2.92</v>
      </c>
    </row>
    <row r="501" spans="1:19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>
        <f>_xlfn.RANK.AVG(Данные!B31,Данные!$B$2:$B$75,1)</f>
        <v>56.5</v>
      </c>
      <c r="L501" s="5">
        <f>_xlfn.RANK.AVG(Данные!E31,Данные!$E$2:$E$75,1)</f>
        <v>41</v>
      </c>
      <c r="M501" s="5"/>
      <c r="N501" s="5"/>
      <c r="O501" s="5">
        <f>Данные!B31+(-0.105)</f>
        <v>3.895</v>
      </c>
      <c r="P501" s="5">
        <f>Данные!E31</f>
        <v>16</v>
      </c>
      <c r="Q501" s="5"/>
      <c r="S501">
        <f>Данные!$B31+(COUNTIFS(Данные!$B$2:$B31,Данные!$B31,Данные!E$2:E31,Данные!E31)-(COUNTIFS(Данные!$B$2:$B$75,Данные!$B31,Данные!E$2:E$75,Данные!E31)+1)/2)*$S$470</f>
        <v>3.92</v>
      </c>
    </row>
    <row r="502" spans="1:19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>
        <f>_xlfn.RANK.AVG(Данные!B32,Данные!$B$2:$B$75,1)</f>
        <v>32</v>
      </c>
      <c r="L502" s="5">
        <f>_xlfn.RANK.AVG(Данные!E32,Данные!$E$2:$E$75,1)</f>
        <v>22</v>
      </c>
      <c r="M502" s="5"/>
      <c r="N502" s="5"/>
      <c r="O502" s="5">
        <f>Данные!B32+(-0.035)</f>
        <v>2.9649999999999999</v>
      </c>
      <c r="P502" s="5">
        <f>Данные!E32</f>
        <v>14</v>
      </c>
      <c r="Q502" s="5"/>
      <c r="S502">
        <f>Данные!$B32+(COUNTIFS(Данные!$B$2:$B32,Данные!$B32,Данные!E$2:E32,Данные!E32)-(COUNTIFS(Данные!$B$2:$B$75,Данные!$B32,Данные!E$2:E$75,Данные!E32)+1)/2)*$S$470</f>
        <v>3.08</v>
      </c>
    </row>
    <row r="503" spans="1:19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>
        <f>_xlfn.RANK.AVG(Данные!B33,Данные!$B$2:$B$75,1)</f>
        <v>32</v>
      </c>
      <c r="L503" s="5">
        <f>_xlfn.RANK.AVG(Данные!E33,Данные!$E$2:$E$75,1)</f>
        <v>56</v>
      </c>
      <c r="M503" s="5"/>
      <c r="N503" s="5"/>
      <c r="O503" s="5">
        <f>Данные!B33+(-0.035)</f>
        <v>2.9649999999999999</v>
      </c>
      <c r="P503" s="5">
        <f>Данные!E33</f>
        <v>18</v>
      </c>
      <c r="Q503" s="5"/>
      <c r="S503">
        <f>Данные!$B33+(COUNTIFS(Данные!$B$2:$B33,Данные!$B33,Данные!E$2:E33,Данные!E33)-(COUNTIFS(Данные!$B$2:$B$75,Данные!$B33,Данные!E$2:E$75,Данные!E33)+1)/2)*$S$470</f>
        <v>3</v>
      </c>
    </row>
    <row r="504" spans="1:19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>
        <f>_xlfn.RANK.AVG(Данные!B34,Данные!$B$2:$B$75,1)</f>
        <v>32</v>
      </c>
      <c r="L504" s="5">
        <f>_xlfn.RANK.AVG(Данные!E34,Данные!$E$2:$E$75,1)</f>
        <v>65.5</v>
      </c>
      <c r="M504" s="5"/>
      <c r="N504" s="5"/>
      <c r="O504" s="5">
        <f>Данные!B34+(-0.07)</f>
        <v>2.93</v>
      </c>
      <c r="P504" s="5">
        <f>Данные!E34</f>
        <v>20</v>
      </c>
      <c r="Q504" s="5"/>
      <c r="S504">
        <f>Данные!$B34+(COUNTIFS(Данные!$B$2:$B34,Данные!$B34,Данные!E$2:E34,Данные!E34)-(COUNTIFS(Данные!$B$2:$B$75,Данные!$B34,Данные!E$2:E$75,Данные!E34)+1)/2)*$S$470</f>
        <v>3.04</v>
      </c>
    </row>
    <row r="505" spans="1:19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>
        <f>_xlfn.RANK.AVG(Данные!B35,Данные!$B$2:$B$75,1)</f>
        <v>32</v>
      </c>
      <c r="L505" s="5">
        <f>_xlfn.RANK.AVG(Данные!E35,Данные!$E$2:$E$75,1)</f>
        <v>15.5</v>
      </c>
      <c r="M505" s="5"/>
      <c r="N505" s="5"/>
      <c r="O505" s="5">
        <f>Данные!B35+(-0.105)</f>
        <v>2.895</v>
      </c>
      <c r="P505" s="5">
        <f>Данные!E35</f>
        <v>13</v>
      </c>
      <c r="Q505" s="5"/>
      <c r="S505">
        <f>Данные!$B35+(COUNTIFS(Данные!$B$2:$B35,Данные!$B35,Данные!E$2:E35,Данные!E35)-(COUNTIFS(Данные!$B$2:$B$75,Данные!$B35,Данные!E$2:E$75,Данные!E35)+1)/2)*$S$470</f>
        <v>2.96</v>
      </c>
    </row>
    <row r="506" spans="1:19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>
        <f>_xlfn.RANK.AVG(Данные!B36,Данные!$B$2:$B$75,1)</f>
        <v>56.5</v>
      </c>
      <c r="L506" s="5">
        <f>_xlfn.RANK.AVG(Данные!E36,Данные!$E$2:$E$75,1)</f>
        <v>9.5</v>
      </c>
      <c r="M506" s="5"/>
      <c r="N506" s="5"/>
      <c r="O506" s="5">
        <f>Данные!B36+(-0.105)</f>
        <v>3.895</v>
      </c>
      <c r="P506" s="5">
        <f>Данные!E36</f>
        <v>12</v>
      </c>
      <c r="Q506" s="5"/>
      <c r="S506">
        <f>Данные!$B36+(COUNTIFS(Данные!$B$2:$B36,Данные!$B36,Данные!E$2:E36,Данные!E36)-(COUNTIFS(Данные!$B$2:$B$75,Данные!$B36,Данные!E$2:E$75,Данные!E36)+1)/2)*$S$470</f>
        <v>3.88</v>
      </c>
    </row>
    <row r="507" spans="1:19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>
        <f>_xlfn.RANK.AVG(Данные!B37,Данные!$B$2:$B$75,1)</f>
        <v>32</v>
      </c>
      <c r="L507" s="5">
        <f>_xlfn.RANK.AVG(Данные!E37,Данные!$E$2:$E$75,1)</f>
        <v>15.5</v>
      </c>
      <c r="M507" s="5"/>
      <c r="N507" s="5"/>
      <c r="O507" s="5">
        <f>Данные!B37+(-0.07)</f>
        <v>2.93</v>
      </c>
      <c r="P507" s="5">
        <f>Данные!E37</f>
        <v>13</v>
      </c>
      <c r="Q507" s="5"/>
      <c r="S507">
        <f>Данные!$B37+(COUNTIFS(Данные!$B$2:$B37,Данные!$B37,Данные!E$2:E37,Данные!E37)-(COUNTIFS(Данные!$B$2:$B$75,Данные!$B37,Данные!E$2:E$75,Данные!E37)+1)/2)*$S$470</f>
        <v>3.04</v>
      </c>
    </row>
    <row r="508" spans="1:19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>
        <f>_xlfn.RANK.AVG(Данные!B38,Данные!$B$2:$B$75,1)</f>
        <v>32</v>
      </c>
      <c r="L508" s="5">
        <f>_xlfn.RANK.AVG(Данные!E38,Данные!$E$2:$E$75,1)</f>
        <v>41</v>
      </c>
      <c r="M508" s="5"/>
      <c r="N508" s="5"/>
      <c r="O508" s="5">
        <f>Данные!B38+(-0.07)</f>
        <v>2.93</v>
      </c>
      <c r="P508" s="5">
        <f>Данные!E38</f>
        <v>16</v>
      </c>
      <c r="Q508" s="5"/>
      <c r="S508">
        <f>Данные!$B38+(COUNTIFS(Данные!$B$2:$B38,Данные!$B38,Данные!E$2:E38,Данные!E38)-(COUNTIFS(Данные!$B$2:$B$75,Данные!$B38,Данные!E$2:E$75,Данные!E38)+1)/2)*$S$470</f>
        <v>2.96</v>
      </c>
    </row>
    <row r="509" spans="1:19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>
        <f>_xlfn.RANK.AVG(Данные!B39,Данные!$B$2:$B$75,1)</f>
        <v>56.5</v>
      </c>
      <c r="L509" s="5">
        <f>_xlfn.RANK.AVG(Данные!E39,Данные!$E$2:$E$75,1)</f>
        <v>22</v>
      </c>
      <c r="M509" s="5"/>
      <c r="N509" s="5"/>
      <c r="O509" s="5">
        <f>Данные!B39+(-0.105)</f>
        <v>3.895</v>
      </c>
      <c r="P509" s="5">
        <f>Данные!E39</f>
        <v>14</v>
      </c>
      <c r="Q509" s="5"/>
      <c r="S509">
        <f>Данные!$B39+(COUNTIFS(Данные!$B$2:$B39,Данные!$B39,Данные!E$2:E39,Данные!E39)-(COUNTIFS(Данные!$B$2:$B$75,Данные!$B39,Данные!E$2:E$75,Данные!E39)+1)/2)*$S$470</f>
        <v>3.92</v>
      </c>
    </row>
    <row r="510" spans="1:19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>
        <f>_xlfn.RANK.AVG(Данные!B40,Данные!$B$2:$B$75,1)</f>
        <v>32</v>
      </c>
      <c r="L510" s="5">
        <f>_xlfn.RANK.AVG(Данные!E40,Данные!$E$2:$E$75,1)</f>
        <v>73</v>
      </c>
      <c r="M510" s="5"/>
      <c r="N510" s="5"/>
      <c r="O510" s="5">
        <f>Данные!B40+(-0.105)</f>
        <v>2.895</v>
      </c>
      <c r="P510" s="5">
        <f>Данные!E40</f>
        <v>24</v>
      </c>
      <c r="Q510" s="5"/>
      <c r="S510">
        <f>Данные!$B40+(COUNTIFS(Данные!$B$2:$B40,Данные!$B40,Данные!E$2:E40,Данные!E40)-(COUNTIFS(Данные!$B$2:$B$75,Данные!$B40,Данные!E$2:E$75,Данные!E40)+1)/2)*$S$470</f>
        <v>3</v>
      </c>
    </row>
    <row r="511" spans="1:19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>
        <f>_xlfn.RANK.AVG(Данные!B41,Данные!$B$2:$B$75,1)</f>
        <v>56.5</v>
      </c>
      <c r="L511" s="5">
        <f>_xlfn.RANK.AVG(Данные!E41,Данные!$E$2:$E$75,1)</f>
        <v>30.5</v>
      </c>
      <c r="M511" s="5"/>
      <c r="N511" s="5"/>
      <c r="O511" s="5">
        <f>Данные!B41+(-0.07)</f>
        <v>3.93</v>
      </c>
      <c r="P511" s="5">
        <f>Данные!E41</f>
        <v>15</v>
      </c>
      <c r="Q511" s="5"/>
      <c r="S511">
        <f>Данные!$B41+(COUNTIFS(Данные!$B$2:$B41,Данные!$B41,Данные!E$2:E41,Данные!E41)-(COUNTIFS(Данные!$B$2:$B$75,Данные!$B41,Данные!E$2:E$75,Данные!E41)+1)/2)*$S$470</f>
        <v>3.92</v>
      </c>
    </row>
    <row r="512" spans="1:19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>
        <f>_xlfn.RANK.AVG(Данные!B42,Данные!$B$2:$B$75,1)</f>
        <v>32</v>
      </c>
      <c r="L512" s="5">
        <f>_xlfn.RANK.AVG(Данные!E42,Данные!$E$2:$E$75,1)</f>
        <v>56</v>
      </c>
      <c r="M512" s="5"/>
      <c r="N512" s="5"/>
      <c r="O512" s="5">
        <f>Данные!B42+(0)</f>
        <v>3</v>
      </c>
      <c r="P512" s="5">
        <f>Данные!E42</f>
        <v>18</v>
      </c>
      <c r="Q512" s="5"/>
      <c r="S512">
        <f>Данные!$B42+(COUNTIFS(Данные!$B$2:$B42,Данные!$B42,Данные!E$2:E42,Данные!E42)-(COUNTIFS(Данные!$B$2:$B$75,Данные!$B42,Данные!E$2:E$75,Данные!E42)+1)/2)*$S$470</f>
        <v>3.08</v>
      </c>
    </row>
    <row r="513" spans="1:19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>
        <f>_xlfn.RANK.AVG(Данные!B43,Данные!$B$2:$B$75,1)</f>
        <v>56.5</v>
      </c>
      <c r="L513" s="5">
        <f>_xlfn.RANK.AVG(Данные!E43,Данные!$E$2:$E$75,1)</f>
        <v>9.5</v>
      </c>
      <c r="M513" s="5"/>
      <c r="N513" s="5"/>
      <c r="O513" s="5">
        <f>Данные!B43+(-0.07)</f>
        <v>3.93</v>
      </c>
      <c r="P513" s="5">
        <f>Данные!E43</f>
        <v>12</v>
      </c>
      <c r="Q513" s="5"/>
      <c r="S513">
        <f>Данные!$B43+(COUNTIFS(Данные!$B$2:$B43,Данные!$B43,Данные!E$2:E43,Данные!E43)-(COUNTIFS(Данные!$B$2:$B$75,Данные!$B43,Данные!E$2:E$75,Данные!E43)+1)/2)*$S$470</f>
        <v>3.96</v>
      </c>
    </row>
    <row r="514" spans="1:19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>
        <f>_xlfn.RANK.AVG(Данные!B44,Данные!$B$2:$B$75,1)</f>
        <v>32</v>
      </c>
      <c r="L514" s="5">
        <f>_xlfn.RANK.AVG(Данные!E44,Данные!$E$2:$E$75,1)</f>
        <v>56</v>
      </c>
      <c r="M514" s="5"/>
      <c r="N514" s="5"/>
      <c r="O514" s="5">
        <f>Данные!B44+(0.035)</f>
        <v>3.0350000000000001</v>
      </c>
      <c r="P514" s="5">
        <f>Данные!E44</f>
        <v>18</v>
      </c>
      <c r="Q514" s="5"/>
      <c r="S514">
        <f>Данные!$B44+(COUNTIFS(Данные!$B$2:$B44,Данные!$B44,Данные!E$2:E44,Данные!E44)-(COUNTIFS(Данные!$B$2:$B$75,Данные!$B44,Данные!E$2:E$75,Данные!E44)+1)/2)*$S$470</f>
        <v>3.16</v>
      </c>
    </row>
    <row r="515" spans="1:19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>
        <f>_xlfn.RANK.AVG(Данные!B45,Данные!$B$2:$B$75,1)</f>
        <v>32</v>
      </c>
      <c r="L515" s="5">
        <f>_xlfn.RANK.AVG(Данные!E45,Данные!$E$2:$E$75,1)</f>
        <v>30.5</v>
      </c>
      <c r="M515" s="5"/>
      <c r="N515" s="5"/>
      <c r="O515" s="5">
        <f>Данные!B45+(-0.035)</f>
        <v>2.9649999999999999</v>
      </c>
      <c r="P515" s="5">
        <f>Данные!E45</f>
        <v>15</v>
      </c>
      <c r="Q515" s="5"/>
      <c r="S515">
        <f>Данные!$B45+(COUNTIFS(Данные!$B$2:$B45,Данные!$B45,Данные!E$2:E45,Данные!E45)-(COUNTIFS(Данные!$B$2:$B$75,Данные!$B45,Данные!E$2:E$75,Данные!E45)+1)/2)*$S$470</f>
        <v>3.08</v>
      </c>
    </row>
    <row r="516" spans="1:19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>
        <f>_xlfn.RANK.AVG(Данные!B46,Данные!$B$2:$B$75,1)</f>
        <v>56.5</v>
      </c>
      <c r="L516" s="5">
        <f>_xlfn.RANK.AVG(Данные!E46,Данные!$E$2:$E$75,1)</f>
        <v>49</v>
      </c>
      <c r="M516" s="5"/>
      <c r="N516" s="5"/>
      <c r="O516" s="5">
        <f>Данные!B46+(-0.105)</f>
        <v>3.895</v>
      </c>
      <c r="P516" s="5">
        <f>Данные!E46</f>
        <v>17</v>
      </c>
      <c r="Q516" s="5"/>
      <c r="S516">
        <f>Данные!$B46+(COUNTIFS(Данные!$B$2:$B46,Данные!$B46,Данные!E$2:E46,Данные!E46)-(COUNTIFS(Данные!$B$2:$B$75,Данные!$B46,Данные!E$2:E$75,Данные!E46)+1)/2)*$S$470</f>
        <v>3.96</v>
      </c>
    </row>
    <row r="517" spans="1:19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>
        <f>_xlfn.RANK.AVG(Данные!B47,Данные!$B$2:$B$75,1)</f>
        <v>32</v>
      </c>
      <c r="L517" s="5">
        <f>_xlfn.RANK.AVG(Данные!E47,Данные!$E$2:$E$75,1)</f>
        <v>9.5</v>
      </c>
      <c r="M517" s="5"/>
      <c r="N517" s="5"/>
      <c r="O517" s="5">
        <f>Данные!B47+(-0.105)</f>
        <v>2.895</v>
      </c>
      <c r="P517" s="5">
        <f>Данные!E47</f>
        <v>12</v>
      </c>
      <c r="Q517" s="5"/>
      <c r="S517">
        <f>Данные!$B47+(COUNTIFS(Данные!$B$2:$B47,Данные!$B47,Данные!E$2:E47,Данные!E47)-(COUNTIFS(Данные!$B$2:$B$75,Данные!$B47,Данные!E$2:E$75,Данные!E47)+1)/2)*$S$470</f>
        <v>3</v>
      </c>
    </row>
    <row r="518" spans="1:19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>
        <f>_xlfn.RANK.AVG(Данные!B48,Данные!$B$2:$B$75,1)</f>
        <v>56.5</v>
      </c>
      <c r="L518" s="5">
        <f>_xlfn.RANK.AVG(Данные!E48,Данные!$E$2:$E$75,1)</f>
        <v>41</v>
      </c>
      <c r="M518" s="5"/>
      <c r="N518" s="5"/>
      <c r="O518" s="5">
        <f>Данные!B48+(-0.07)</f>
        <v>3.93</v>
      </c>
      <c r="P518" s="5">
        <f>Данные!E48</f>
        <v>16</v>
      </c>
      <c r="Q518" s="5"/>
      <c r="S518">
        <f>Данные!$B48+(COUNTIFS(Данные!$B$2:$B48,Данные!$B48,Данные!E$2:E48,Данные!E48)-(COUNTIFS(Данные!$B$2:$B$75,Данные!$B48,Данные!E$2:E$75,Данные!E48)+1)/2)*$S$470</f>
        <v>4</v>
      </c>
    </row>
    <row r="519" spans="1:19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>
        <f>_xlfn.RANK.AVG(Данные!B49,Данные!$B$2:$B$75,1)</f>
        <v>32</v>
      </c>
      <c r="L519" s="5">
        <f>_xlfn.RANK.AVG(Данные!E49,Данные!$E$2:$E$75,1)</f>
        <v>4</v>
      </c>
      <c r="M519" s="5"/>
      <c r="N519" s="5"/>
      <c r="O519" s="5">
        <f>Данные!B49+(-0.105)</f>
        <v>2.895</v>
      </c>
      <c r="P519" s="5">
        <f>Данные!E49</f>
        <v>9</v>
      </c>
      <c r="Q519" s="5"/>
      <c r="S519">
        <f>Данные!$B49+(COUNTIFS(Данные!$B$2:$B49,Данные!$B49,Данные!E$2:E49,Данные!E49)-(COUNTIFS(Данные!$B$2:$B$75,Данные!$B49,Данные!E$2:E$75,Данные!E49)+1)/2)*$S$470</f>
        <v>3</v>
      </c>
    </row>
    <row r="520" spans="1:19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>
        <f>_xlfn.RANK.AVG(Данные!B50,Данные!$B$2:$B$75,1)</f>
        <v>32</v>
      </c>
      <c r="L520" s="5">
        <f>_xlfn.RANK.AVG(Данные!E50,Данные!$E$2:$E$75,1)</f>
        <v>41</v>
      </c>
      <c r="M520" s="5"/>
      <c r="N520" s="5"/>
      <c r="O520" s="5">
        <f>Данные!B50+(-0.035)</f>
        <v>2.9649999999999999</v>
      </c>
      <c r="P520" s="5">
        <f>Данные!E50</f>
        <v>16</v>
      </c>
      <c r="Q520" s="5"/>
      <c r="S520">
        <f>Данные!$B50+(COUNTIFS(Данные!$B$2:$B50,Данные!$B50,Данные!E$2:E50,Данные!E50)-(COUNTIFS(Данные!$B$2:$B$75,Данные!$B50,Данные!E$2:E$75,Данные!E50)+1)/2)*$S$470</f>
        <v>3.04</v>
      </c>
    </row>
    <row r="521" spans="1:19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>
        <f>_xlfn.RANK.AVG(Данные!B51,Данные!$B$2:$B$75,1)</f>
        <v>32</v>
      </c>
      <c r="L521" s="5">
        <f>_xlfn.RANK.AVG(Данные!E51,Данные!$E$2:$E$75,1)</f>
        <v>62.5</v>
      </c>
      <c r="M521" s="5"/>
      <c r="N521" s="5"/>
      <c r="O521" s="5">
        <f>Данные!B51+(-0.105)</f>
        <v>2.895</v>
      </c>
      <c r="P521" s="5">
        <f>Данные!E51</f>
        <v>19</v>
      </c>
      <c r="Q521" s="5"/>
      <c r="S521">
        <f>Данные!$B51+(COUNTIFS(Данные!$B$2:$B51,Данные!$B51,Данные!E$2:E51,Данные!E51)-(COUNTIFS(Данные!$B$2:$B$75,Данные!$B51,Данные!E$2:E$75,Данные!E51)+1)/2)*$S$470</f>
        <v>3</v>
      </c>
    </row>
    <row r="522" spans="1:19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>
        <f>_xlfn.RANK.AVG(Данные!B52,Данные!$B$2:$B$75,1)</f>
        <v>32</v>
      </c>
      <c r="L522" s="5">
        <f>_xlfn.RANK.AVG(Данные!E52,Данные!$E$2:$E$75,1)</f>
        <v>41</v>
      </c>
      <c r="M522" s="5"/>
      <c r="N522" s="5"/>
      <c r="O522" s="5">
        <f>Данные!B52+(0)</f>
        <v>3</v>
      </c>
      <c r="P522" s="5">
        <f>Данные!E52</f>
        <v>16</v>
      </c>
      <c r="Q522" s="5"/>
      <c r="S522">
        <f>Данные!$B52+(COUNTIFS(Данные!$B$2:$B52,Данные!$B52,Данные!E$2:E52,Данные!E52)-(COUNTIFS(Данные!$B$2:$B$75,Данные!$B52,Данные!E$2:E$75,Данные!E52)+1)/2)*$S$470</f>
        <v>3.12</v>
      </c>
    </row>
    <row r="523" spans="1:19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>
        <f>_xlfn.RANK.AVG(Данные!B53,Данные!$B$2:$B$75,1)</f>
        <v>56.5</v>
      </c>
      <c r="L523" s="5">
        <f>_xlfn.RANK.AVG(Данные!E53,Данные!$E$2:$E$75,1)</f>
        <v>3</v>
      </c>
      <c r="M523" s="5"/>
      <c r="N523" s="5"/>
      <c r="O523" s="5">
        <f>Данные!B53+(-0.105)</f>
        <v>3.895</v>
      </c>
      <c r="P523" s="5">
        <f>Данные!E53</f>
        <v>8</v>
      </c>
      <c r="Q523" s="5"/>
      <c r="S523">
        <f>Данные!$B53+(COUNTIFS(Данные!$B$2:$B53,Данные!$B53,Данные!E$2:E53,Данные!E53)-(COUNTIFS(Данные!$B$2:$B$75,Данные!$B53,Данные!E$2:E$75,Данные!E53)+1)/2)*$S$470</f>
        <v>4</v>
      </c>
    </row>
    <row r="524" spans="1:19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>
        <f>_xlfn.RANK.AVG(Данные!B54,Данные!$B$2:$B$75,1)</f>
        <v>32</v>
      </c>
      <c r="L524" s="5">
        <f>_xlfn.RANK.AVG(Данные!E54,Данные!$E$2:$E$75,1)</f>
        <v>49</v>
      </c>
      <c r="M524" s="5"/>
      <c r="N524" s="5"/>
      <c r="O524" s="5">
        <f>Данные!B54+(-0.105)</f>
        <v>2.895</v>
      </c>
      <c r="P524" s="5">
        <f>Данные!E54</f>
        <v>17</v>
      </c>
      <c r="Q524" s="5"/>
      <c r="S524">
        <f>Данные!$B54+(COUNTIFS(Данные!$B$2:$B54,Данные!$B54,Данные!E$2:E54,Данные!E54)-(COUNTIFS(Данные!$B$2:$B$75,Данные!$B54,Данные!E$2:E$75,Данные!E54)+1)/2)*$S$470</f>
        <v>3</v>
      </c>
    </row>
    <row r="525" spans="1:19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>
        <f>_xlfn.RANK.AVG(Данные!B55,Данные!$B$2:$B$75,1)</f>
        <v>56.5</v>
      </c>
      <c r="L525" s="5">
        <f>_xlfn.RANK.AVG(Данные!E55,Данные!$E$2:$E$75,1)</f>
        <v>62.5</v>
      </c>
      <c r="M525" s="5"/>
      <c r="N525" s="5"/>
      <c r="O525" s="5">
        <f>Данные!B55+(-0.105)</f>
        <v>3.895</v>
      </c>
      <c r="P525" s="5">
        <f>Данные!E55</f>
        <v>19</v>
      </c>
      <c r="Q525" s="5"/>
      <c r="S525">
        <f>Данные!$B55+(COUNTIFS(Данные!$B$2:$B55,Данные!$B55,Данные!E$2:E55,Данные!E55)-(COUNTIFS(Данные!$B$2:$B$75,Данные!$B55,Данные!E$2:E$75,Данные!E55)+1)/2)*$S$470</f>
        <v>3.96</v>
      </c>
    </row>
    <row r="526" spans="1:19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>
        <f>_xlfn.RANK.AVG(Данные!B56,Данные!$B$2:$B$75,1)</f>
        <v>56.5</v>
      </c>
      <c r="L526" s="5">
        <f>_xlfn.RANK.AVG(Данные!E56,Данные!$E$2:$E$75,1)</f>
        <v>62.5</v>
      </c>
      <c r="M526" s="5"/>
      <c r="N526" s="5"/>
      <c r="O526" s="5">
        <f>Данные!B56+(-0.07)</f>
        <v>3.93</v>
      </c>
      <c r="P526" s="5">
        <f>Данные!E56</f>
        <v>19</v>
      </c>
      <c r="Q526" s="5"/>
      <c r="S526">
        <f>Данные!$B56+(COUNTIFS(Данные!$B$2:$B56,Данные!$B56,Данные!E$2:E56,Данные!E56)-(COUNTIFS(Данные!$B$2:$B$75,Данные!$B56,Данные!E$2:E$75,Данные!E56)+1)/2)*$S$470</f>
        <v>4.04</v>
      </c>
    </row>
    <row r="527" spans="1:19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>
        <f>_xlfn.RANK.AVG(Данные!B57,Данные!$B$2:$B$75,1)</f>
        <v>56.5</v>
      </c>
      <c r="L527" s="5">
        <f>_xlfn.RANK.AVG(Данные!E57,Данные!$E$2:$E$75,1)</f>
        <v>30.5</v>
      </c>
      <c r="M527" s="5"/>
      <c r="N527" s="5"/>
      <c r="O527" s="5">
        <f>Данные!B57+(-0.035)</f>
        <v>3.9649999999999999</v>
      </c>
      <c r="P527" s="5">
        <f>Данные!E57</f>
        <v>15</v>
      </c>
      <c r="Q527" s="5"/>
      <c r="S527">
        <f>Данные!$B57+(COUNTIFS(Данные!$B$2:$B57,Данные!$B57,Данные!E$2:E57,Данные!E57)-(COUNTIFS(Данные!$B$2:$B$75,Данные!$B57,Данные!E$2:E$75,Данные!E57)+1)/2)*$S$470</f>
        <v>4</v>
      </c>
    </row>
    <row r="528" spans="1:19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>
        <f>_xlfn.RANK.AVG(Данные!B58,Данные!$B$2:$B$75,1)</f>
        <v>56.5</v>
      </c>
      <c r="L528" s="5">
        <f>_xlfn.RANK.AVG(Данные!E58,Данные!$E$2:$E$75,1)</f>
        <v>41</v>
      </c>
      <c r="M528" s="5"/>
      <c r="N528" s="5"/>
      <c r="O528" s="5">
        <f>Данные!B58+(-0.035)</f>
        <v>3.9649999999999999</v>
      </c>
      <c r="P528" s="5">
        <f>Данные!E58</f>
        <v>16</v>
      </c>
      <c r="Q528" s="5"/>
      <c r="S528">
        <f>Данные!$B58+(COUNTIFS(Данные!$B$2:$B58,Данные!$B58,Данные!E$2:E58,Данные!E58)-(COUNTIFS(Данные!$B$2:$B$75,Данные!$B58,Данные!E$2:E$75,Данные!E58)+1)/2)*$S$470</f>
        <v>4.08</v>
      </c>
    </row>
    <row r="529" spans="1:19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>
        <f>_xlfn.RANK.AVG(Данные!B59,Данные!$B$2:$B$75,1)</f>
        <v>56.5</v>
      </c>
      <c r="L529" s="5">
        <f>_xlfn.RANK.AVG(Данные!E59,Данные!$E$2:$E$75,1)</f>
        <v>49</v>
      </c>
      <c r="M529" s="5"/>
      <c r="N529" s="5"/>
      <c r="O529" s="5">
        <f>Данные!B59+(-0.07)</f>
        <v>3.93</v>
      </c>
      <c r="P529" s="5">
        <f>Данные!E59</f>
        <v>17</v>
      </c>
      <c r="Q529" s="5"/>
      <c r="S529">
        <f>Данные!$B59+(COUNTIFS(Данные!$B$2:$B59,Данные!$B59,Данные!E$2:E59,Данные!E59)-(COUNTIFS(Данные!$B$2:$B$75,Данные!$B59,Данные!E$2:E$75,Данные!E59)+1)/2)*$S$470</f>
        <v>4.04</v>
      </c>
    </row>
    <row r="530" spans="1:19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>
        <f>_xlfn.RANK.AVG(Данные!B60,Данные!$B$2:$B$75,1)</f>
        <v>56.5</v>
      </c>
      <c r="L530" s="5">
        <f>_xlfn.RANK.AVG(Данные!E60,Данные!$E$2:$E$75,1)</f>
        <v>73</v>
      </c>
      <c r="M530" s="5"/>
      <c r="N530" s="5"/>
      <c r="O530" s="5">
        <f>Данные!B60+(-0.105)</f>
        <v>3.895</v>
      </c>
      <c r="P530" s="5">
        <f>Данные!E60</f>
        <v>24</v>
      </c>
      <c r="Q530" s="5"/>
      <c r="S530">
        <f>Данные!$B60+(COUNTIFS(Данные!$B$2:$B60,Данные!$B60,Данные!E$2:E60,Данные!E60)-(COUNTIFS(Данные!$B$2:$B$75,Данные!$B60,Данные!E$2:E$75,Данные!E60)+1)/2)*$S$470</f>
        <v>4</v>
      </c>
    </row>
    <row r="531" spans="1:19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>
        <f>_xlfn.RANK.AVG(Данные!B61,Данные!$B$2:$B$75,1)</f>
        <v>71.5</v>
      </c>
      <c r="L531" s="5">
        <f>_xlfn.RANK.AVG(Данные!E61,Данные!$E$2:$E$75,1)</f>
        <v>2</v>
      </c>
      <c r="M531" s="5"/>
      <c r="N531" s="5"/>
      <c r="O531" s="5">
        <f>Данные!B61+(-0.105)</f>
        <v>4.8949999999999996</v>
      </c>
      <c r="P531" s="5">
        <f>Данные!E61</f>
        <v>7</v>
      </c>
      <c r="Q531" s="5"/>
      <c r="S531">
        <f>Данные!$B61+(COUNTIFS(Данные!$B$2:$B61,Данные!$B61,Данные!E$2:E61,Данные!E61)-(COUNTIFS(Данные!$B$2:$B$75,Данные!$B61,Данные!E$2:E$75,Данные!E61)+1)/2)*$S$470</f>
        <v>5</v>
      </c>
    </row>
    <row r="532" spans="1:19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>
        <f>_xlfn.RANK.AVG(Данные!B62,Данные!$B$2:$B$75,1)</f>
        <v>56.5</v>
      </c>
      <c r="L532" s="5">
        <f>_xlfn.RANK.AVG(Данные!E62,Данные!$E$2:$E$75,1)</f>
        <v>5.5</v>
      </c>
      <c r="M532" s="5"/>
      <c r="N532" s="5"/>
      <c r="O532" s="5">
        <f>Данные!B62+(-0.105)</f>
        <v>3.895</v>
      </c>
      <c r="P532" s="5">
        <f>Данные!E62</f>
        <v>10</v>
      </c>
      <c r="Q532" s="5"/>
      <c r="S532">
        <f>Данные!$B62+(COUNTIFS(Данные!$B$2:$B62,Данные!$B62,Данные!E$2:E62,Данные!E62)-(COUNTIFS(Данные!$B$2:$B$75,Данные!$B62,Данные!E$2:E$75,Данные!E62)+1)/2)*$S$470</f>
        <v>3.96</v>
      </c>
    </row>
    <row r="533" spans="1:19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>
        <f>_xlfn.RANK.AVG(Данные!B63,Данные!$B$2:$B$75,1)</f>
        <v>56.5</v>
      </c>
      <c r="L533" s="5">
        <f>_xlfn.RANK.AVG(Данные!E63,Данные!$E$2:$E$75,1)</f>
        <v>22</v>
      </c>
      <c r="M533" s="5"/>
      <c r="N533" s="5"/>
      <c r="O533" s="5">
        <f>Данные!B63+(-0.07)</f>
        <v>3.93</v>
      </c>
      <c r="P533" s="5">
        <f>Данные!E63</f>
        <v>14</v>
      </c>
      <c r="Q533" s="5"/>
      <c r="S533">
        <f>Данные!$B63+(COUNTIFS(Данные!$B$2:$B63,Данные!$B63,Данные!E$2:E63,Данные!E63)-(COUNTIFS(Данные!$B$2:$B$75,Данные!$B63,Данные!E$2:E$75,Данные!E63)+1)/2)*$S$470</f>
        <v>4</v>
      </c>
    </row>
    <row r="534" spans="1:19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>
        <f>_xlfn.RANK.AVG(Данные!B64,Данные!$B$2:$B$75,1)</f>
        <v>56.5</v>
      </c>
      <c r="L534" s="5">
        <f>_xlfn.RANK.AVG(Данные!E64,Данные!$E$2:$E$75,1)</f>
        <v>9.5</v>
      </c>
      <c r="M534" s="5"/>
      <c r="N534" s="5"/>
      <c r="O534" s="5">
        <f>Данные!B64+(-0.035)</f>
        <v>3.9649999999999999</v>
      </c>
      <c r="P534" s="5">
        <f>Данные!E64</f>
        <v>12</v>
      </c>
      <c r="Q534" s="5"/>
      <c r="S534">
        <f>Данные!$B64+(COUNTIFS(Данные!$B$2:$B64,Данные!$B64,Данные!E$2:E64,Данные!E64)-(COUNTIFS(Данные!$B$2:$B$75,Данные!$B64,Данные!E$2:E$75,Данные!E64)+1)/2)*$S$470</f>
        <v>4.04</v>
      </c>
    </row>
    <row r="535" spans="1:19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>
        <f>_xlfn.RANK.AVG(Данные!B65,Данные!$B$2:$B$75,1)</f>
        <v>56.5</v>
      </c>
      <c r="L535" s="5">
        <f>_xlfn.RANK.AVG(Данные!E65,Данные!$E$2:$E$75,1)</f>
        <v>9.5</v>
      </c>
      <c r="M535" s="5"/>
      <c r="N535" s="5"/>
      <c r="O535" s="5">
        <f>Данные!B65+(0)</f>
        <v>4</v>
      </c>
      <c r="P535" s="5">
        <f>Данные!E65</f>
        <v>12</v>
      </c>
      <c r="Q535" s="5"/>
      <c r="S535">
        <f>Данные!$B65+(COUNTIFS(Данные!$B$2:$B65,Данные!$B65,Данные!E$2:E65,Данные!E65)-(COUNTIFS(Данные!$B$2:$B$75,Данные!$B65,Данные!E$2:E$75,Данные!E65)+1)/2)*$S$470</f>
        <v>4.12</v>
      </c>
    </row>
    <row r="536" spans="1:19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>
        <f>_xlfn.RANK.AVG(Данные!B66,Данные!$B$2:$B$75,1)</f>
        <v>56.5</v>
      </c>
      <c r="L536" s="5">
        <f>_xlfn.RANK.AVG(Данные!E66,Данные!$E$2:$E$75,1)</f>
        <v>30.5</v>
      </c>
      <c r="M536" s="5"/>
      <c r="N536" s="5"/>
      <c r="O536" s="5">
        <f>Данные!B66+(0)</f>
        <v>4</v>
      </c>
      <c r="P536" s="5">
        <f>Данные!E66</f>
        <v>15</v>
      </c>
      <c r="Q536" s="5"/>
      <c r="S536">
        <f>Данные!$B66+(COUNTIFS(Данные!$B$2:$B66,Данные!$B66,Данные!E$2:E66,Данные!E66)-(COUNTIFS(Данные!$B$2:$B$75,Данные!$B66,Данные!E$2:E$75,Данные!E66)+1)/2)*$S$470</f>
        <v>4.08</v>
      </c>
    </row>
    <row r="537" spans="1:19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>
        <f>_xlfn.RANK.AVG(Данные!B67,Данные!$B$2:$B$75,1)</f>
        <v>71.5</v>
      </c>
      <c r="L537" s="5">
        <f>_xlfn.RANK.AVG(Данные!E67,Данные!$E$2:$E$75,1)</f>
        <v>1</v>
      </c>
      <c r="M537" s="5"/>
      <c r="N537" s="5"/>
      <c r="O537" s="5">
        <f>Данные!B67+(-0.105)</f>
        <v>4.8949999999999996</v>
      </c>
      <c r="P537" s="5">
        <f>Данные!E67</f>
        <v>6</v>
      </c>
      <c r="Q537" s="5"/>
      <c r="S537">
        <f>Данные!$B67+(COUNTIFS(Данные!$B$2:$B67,Данные!$B67,Данные!E$2:E67,Данные!E67)-(COUNTIFS(Данные!$B$2:$B$75,Данные!$B67,Данные!E$2:E$75,Данные!E67)+1)/2)*$S$470</f>
        <v>5</v>
      </c>
    </row>
    <row r="538" spans="1:19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>
        <f>_xlfn.RANK.AVG(Данные!B68,Данные!$B$2:$B$75,1)</f>
        <v>71.5</v>
      </c>
      <c r="L538" s="5">
        <f>_xlfn.RANK.AVG(Данные!E68,Данные!$E$2:$E$75,1)</f>
        <v>41</v>
      </c>
      <c r="M538" s="5"/>
      <c r="N538" s="5"/>
      <c r="O538" s="5">
        <f>Данные!B68+(-0.105)</f>
        <v>4.8949999999999996</v>
      </c>
      <c r="P538" s="5">
        <f>Данные!E68</f>
        <v>16</v>
      </c>
      <c r="Q538" s="5"/>
      <c r="S538">
        <f>Данные!$B68+(COUNTIFS(Данные!$B$2:$B68,Данные!$B68,Данные!E$2:E68,Данные!E68)-(COUNTIFS(Данные!$B$2:$B$75,Данные!$B68,Данные!E$2:E$75,Данные!E68)+1)/2)*$S$470</f>
        <v>5</v>
      </c>
    </row>
    <row r="539" spans="1:19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>
        <f>_xlfn.RANK.AVG(Данные!B69,Данные!$B$2:$B$75,1)</f>
        <v>56.5</v>
      </c>
      <c r="L539" s="5">
        <f>_xlfn.RANK.AVG(Данные!E69,Данные!$E$2:$E$75,1)</f>
        <v>22</v>
      </c>
      <c r="M539" s="5"/>
      <c r="N539" s="5"/>
      <c r="O539" s="5">
        <f>Данные!B69+(-0.035)</f>
        <v>3.9649999999999999</v>
      </c>
      <c r="P539" s="5">
        <f>Данные!E69</f>
        <v>14</v>
      </c>
      <c r="Q539" s="5"/>
      <c r="S539">
        <f>Данные!$B69+(COUNTIFS(Данные!$B$2:$B69,Данные!$B69,Данные!E$2:E69,Данные!E69)-(COUNTIFS(Данные!$B$2:$B$75,Данные!$B69,Данные!E$2:E$75,Данные!E69)+1)/2)*$S$470</f>
        <v>4.08</v>
      </c>
    </row>
    <row r="540" spans="1:19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>
        <f>_xlfn.RANK.AVG(Данные!B70,Данные!$B$2:$B$75,1)</f>
        <v>56.5</v>
      </c>
      <c r="L540" s="5">
        <f>_xlfn.RANK.AVG(Данные!E70,Данные!$E$2:$E$75,1)</f>
        <v>30.5</v>
      </c>
      <c r="M540" s="5"/>
      <c r="N540" s="5"/>
      <c r="O540" s="5">
        <f>Данные!B70+(0.035)</f>
        <v>4.0350000000000001</v>
      </c>
      <c r="P540" s="5">
        <f>Данные!E70</f>
        <v>15</v>
      </c>
      <c r="Q540" s="5"/>
      <c r="S540">
        <f>Данные!$B70+(COUNTIFS(Данные!$B$2:$B70,Данные!$B70,Данные!E$2:E70,Данные!E70)-(COUNTIFS(Данные!$B$2:$B$75,Данные!$B70,Данные!E$2:E$75,Данные!E70)+1)/2)*$S$470</f>
        <v>4.16</v>
      </c>
    </row>
    <row r="541" spans="1:19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>
        <f>_xlfn.RANK.AVG(Данные!B71,Данные!$B$2:$B$75,1)</f>
        <v>71.5</v>
      </c>
      <c r="L541" s="5">
        <f>_xlfn.RANK.AVG(Данные!E71,Данные!$E$2:$E$75,1)</f>
        <v>30.5</v>
      </c>
      <c r="M541" s="5"/>
      <c r="N541" s="5"/>
      <c r="O541" s="5">
        <f>Данные!B71+(-0.105)</f>
        <v>4.8949999999999996</v>
      </c>
      <c r="P541" s="5">
        <f>Данные!E71</f>
        <v>15</v>
      </c>
      <c r="Q541" s="5"/>
      <c r="S541">
        <f>Данные!$B71+(COUNTIFS(Данные!$B$2:$B71,Данные!$B71,Данные!E$2:E71,Данные!E71)-(COUNTIFS(Данные!$B$2:$B$75,Данные!$B71,Данные!E$2:E$75,Данные!E71)+1)/2)*$S$470</f>
        <v>5</v>
      </c>
    </row>
    <row r="542" spans="1:19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>
        <f>_xlfn.RANK.AVG(Данные!B72,Данные!$B$2:$B$75,1)</f>
        <v>71.5</v>
      </c>
      <c r="L542" s="5">
        <f>_xlfn.RANK.AVG(Данные!E72,Данные!$E$2:$E$75,1)</f>
        <v>15.5</v>
      </c>
      <c r="M542" s="5"/>
      <c r="N542" s="5"/>
      <c r="O542" s="5">
        <f>Данные!B72+(-0.105)</f>
        <v>4.8949999999999996</v>
      </c>
      <c r="P542" s="5">
        <f>Данные!E72</f>
        <v>13</v>
      </c>
      <c r="Q542" s="5"/>
      <c r="S542">
        <f>Данные!$B72+(COUNTIFS(Данные!$B$2:$B72,Данные!$B72,Данные!E$2:E72,Данные!E72)-(COUNTIFS(Данные!$B$2:$B$75,Данные!$B72,Данные!E$2:E$75,Данные!E72)+1)/2)*$S$470</f>
        <v>5</v>
      </c>
    </row>
    <row r="543" spans="1:19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>
        <f>_xlfn.RANK.AVG(Данные!B73,Данные!$B$2:$B$75,1)</f>
        <v>71.5</v>
      </c>
      <c r="L543" s="5">
        <f>_xlfn.RANK.AVG(Данные!E73,Данные!$E$2:$E$75,1)</f>
        <v>62.5</v>
      </c>
      <c r="M543" s="5"/>
      <c r="N543" s="5"/>
      <c r="O543" s="5">
        <f>Данные!B73+(-0.105)</f>
        <v>4.8949999999999996</v>
      </c>
      <c r="P543" s="5">
        <f>Данные!E73</f>
        <v>19</v>
      </c>
      <c r="Q543" s="5"/>
      <c r="S543">
        <f>Данные!$B73+(COUNTIFS(Данные!$B$2:$B73,Данные!$B73,Данные!E$2:E73,Данные!E73)-(COUNTIFS(Данные!$B$2:$B$75,Данные!$B73,Данные!E$2:E$75,Данные!E73)+1)/2)*$S$470</f>
        <v>5</v>
      </c>
    </row>
    <row r="544" spans="1:19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>
        <f>_xlfn.RANK.AVG(Данные!B74,Данные!$B$2:$B$75,1)</f>
        <v>56.5</v>
      </c>
      <c r="L544" s="5">
        <f>_xlfn.RANK.AVG(Данные!E74,Данные!$E$2:$E$75,1)</f>
        <v>15.5</v>
      </c>
      <c r="M544" s="5"/>
      <c r="N544" s="5"/>
      <c r="O544" s="5">
        <f>Данные!B74+(-0.105)</f>
        <v>3.895</v>
      </c>
      <c r="P544" s="5">
        <f>Данные!E74</f>
        <v>13</v>
      </c>
      <c r="Q544" s="5"/>
      <c r="S544">
        <f>Данные!$B74+(COUNTIFS(Данные!$B$2:$B74,Данные!$B74,Данные!E$2:E74,Данные!E74)-(COUNTIFS(Данные!$B$2:$B$75,Данные!$B74,Данные!E$2:E$75,Данные!E74)+1)/2)*$S$470</f>
        <v>4</v>
      </c>
    </row>
    <row r="545" spans="1:20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>
        <f>_xlfn.RANK.AVG(Данные!B75,Данные!$B$2:$B$75,1)</f>
        <v>56.5</v>
      </c>
      <c r="L545" s="5">
        <f>_xlfn.RANK.AVG(Данные!E75,Данные!$E$2:$E$75,1)</f>
        <v>5.5</v>
      </c>
      <c r="M545" s="5"/>
      <c r="N545" s="5"/>
      <c r="O545" s="5">
        <f>Данные!B75+(-0.07)</f>
        <v>3.93</v>
      </c>
      <c r="P545" s="5">
        <f>Данные!E75</f>
        <v>10</v>
      </c>
      <c r="Q545" s="5"/>
      <c r="S545">
        <f>Данные!$B75+(COUNTIFS(Данные!$B$2:$B75,Данные!$B75,Данные!E$2:E75,Данные!E75)-(COUNTIFS(Данные!$B$2:$B$75,Данные!$B75,Данные!E$2:E$75,Данные!E75)+1)/2)*$S$470</f>
        <v>4.04</v>
      </c>
    </row>
    <row r="546" spans="1:20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</row>
    <row r="547" spans="1:20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</row>
    <row r="548" spans="1:20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</row>
    <row r="549" spans="1:20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</row>
    <row r="550" spans="1:20" x14ac:dyDescent="0.25">
      <c r="A550" s="5"/>
      <c r="B550" s="5"/>
      <c r="C550" s="5"/>
      <c r="D550" s="5" t="s">
        <v>51</v>
      </c>
      <c r="E550" s="5">
        <v>1</v>
      </c>
      <c r="F550" s="5">
        <v>2</v>
      </c>
      <c r="G550" s="5">
        <v>3</v>
      </c>
      <c r="H550" s="5">
        <v>4</v>
      </c>
      <c r="I550" s="5">
        <v>5</v>
      </c>
      <c r="J550" s="5"/>
      <c r="K550" s="5" t="s">
        <v>52</v>
      </c>
      <c r="L550" s="5" t="s">
        <v>53</v>
      </c>
      <c r="M550" s="5" t="s">
        <v>54</v>
      </c>
      <c r="N550" s="5" t="s">
        <v>55</v>
      </c>
      <c r="O550" s="5"/>
      <c r="P550" s="5"/>
      <c r="Q550" s="5"/>
      <c r="S550" t="s">
        <v>56</v>
      </c>
      <c r="T550" t="s">
        <v>57</v>
      </c>
    </row>
    <row r="551" spans="1:20" x14ac:dyDescent="0.25">
      <c r="A551" s="5"/>
      <c r="B551" s="5"/>
      <c r="C551" s="5"/>
      <c r="D551" s="5" t="s">
        <v>58</v>
      </c>
      <c r="E551" s="5">
        <f>COUNT(E472:E478)</f>
        <v>7</v>
      </c>
      <c r="F551" s="5">
        <f>COUNT(F472:F483)</f>
        <v>12</v>
      </c>
      <c r="G551" s="5">
        <f>COUNT(G472:G496)</f>
        <v>25</v>
      </c>
      <c r="H551" s="5">
        <f>COUNT(H472:H495)</f>
        <v>24</v>
      </c>
      <c r="I551" s="5">
        <f>COUNT(I472:I477)</f>
        <v>6</v>
      </c>
      <c r="J551" s="5"/>
      <c r="K551" s="5">
        <f>1+0*4/59</f>
        <v>1</v>
      </c>
      <c r="L551" s="5">
        <f t="shared" ref="L551:L582" si="26">$B$475+$B$476*K551</f>
        <v>18.481285090455394</v>
      </c>
      <c r="M551" s="5">
        <f>L551-$B$483*$B$478*SQRT(1/$B$472+(K551-AVERAGE(Данные!$B$2:$B$75))^2/DEVSQ(Данные!$B$2:$B$75))</f>
        <v>16.713212328480999</v>
      </c>
      <c r="N551" s="5">
        <f>L551+$B$483*$B$478*SQRT(1/$B$472+(K551-AVERAGE(Данные!$B$2:$B$75))^2/DEVSQ(Данные!$B$2:$B$75))</f>
        <v>20.249357852429789</v>
      </c>
      <c r="O551" s="5"/>
      <c r="P551" s="5"/>
      <c r="Q551" s="5"/>
      <c r="S551">
        <f t="shared" ref="S551:S582" si="27">K551</f>
        <v>1</v>
      </c>
      <c r="T551">
        <f t="shared" ref="T551:T582" si="28">M551</f>
        <v>16.713212328480999</v>
      </c>
    </row>
    <row r="552" spans="1:20" x14ac:dyDescent="0.25">
      <c r="A552" s="5"/>
      <c r="B552" s="5"/>
      <c r="C552" s="5"/>
      <c r="D552" s="5" t="s">
        <v>59</v>
      </c>
      <c r="E552" s="9">
        <f>AVERAGE(E472:E478)</f>
        <v>17.714285714285715</v>
      </c>
      <c r="F552" s="9">
        <f>AVERAGE(F472:F483)</f>
        <v>17.25</v>
      </c>
      <c r="G552" s="9">
        <f>AVERAGE(G472:G496)</f>
        <v>16.36</v>
      </c>
      <c r="H552" s="9">
        <f>AVERAGE(H472:H495)</f>
        <v>14.583333333333334</v>
      </c>
      <c r="I552" s="9">
        <f>AVERAGE(I472:I477)</f>
        <v>12.666666666666666</v>
      </c>
      <c r="J552" s="5"/>
      <c r="K552" s="5">
        <f>1+1*4/59</f>
        <v>1.0677966101694916</v>
      </c>
      <c r="L552" s="5">
        <f t="shared" si="26"/>
        <v>18.3947735707413</v>
      </c>
      <c r="M552" s="5">
        <f>L552-$B$483*$B$478*SQRT(1/$B$472+(K552-AVERAGE(Данные!$B$2:$B$75))^2/DEVSQ(Данные!$B$2:$B$75))</f>
        <v>16.671220424066799</v>
      </c>
      <c r="N552" s="5">
        <f>L552+$B$483*$B$478*SQRT(1/$B$472+(K552-AVERAGE(Данные!$B$2:$B$75))^2/DEVSQ(Данные!$B$2:$B$75))</f>
        <v>20.118326717415801</v>
      </c>
      <c r="O552" s="5"/>
      <c r="P552" s="5"/>
      <c r="Q552" s="5"/>
      <c r="S552">
        <f t="shared" si="27"/>
        <v>1.0677966101694916</v>
      </c>
      <c r="T552">
        <f t="shared" si="28"/>
        <v>16.671220424066799</v>
      </c>
    </row>
    <row r="553" spans="1:20" x14ac:dyDescent="0.25">
      <c r="A553" s="5"/>
      <c r="B553" s="5"/>
      <c r="C553" s="5"/>
      <c r="D553" s="5" t="s">
        <v>60</v>
      </c>
      <c r="E553" s="9">
        <f>_xlfn.QUARTILE.INC(E472:E478,1)</f>
        <v>16</v>
      </c>
      <c r="F553" s="9">
        <f>_xlfn.QUARTILE.INC(F472:F483,1)</f>
        <v>14.75</v>
      </c>
      <c r="G553" s="9">
        <f>_xlfn.QUARTILE.INC(G472:G496,1)</f>
        <v>14</v>
      </c>
      <c r="H553" s="9">
        <f>_xlfn.QUARTILE.INC(H472:H495,1)</f>
        <v>12</v>
      </c>
      <c r="I553" s="9">
        <f>_xlfn.QUARTILE.INC(I472:I477,1)</f>
        <v>8.5</v>
      </c>
      <c r="J553" s="5"/>
      <c r="K553" s="5">
        <f>1+2*4/59</f>
        <v>1.1355932203389831</v>
      </c>
      <c r="L553" s="5">
        <f t="shared" si="26"/>
        <v>18.308262051027203</v>
      </c>
      <c r="M553" s="5">
        <f>L553-$B$483*$B$478*SQRT(1/$B$472+(K553-AVERAGE(Данные!$B$2:$B$75))^2/DEVSQ(Данные!$B$2:$B$75))</f>
        <v>16.628915427376484</v>
      </c>
      <c r="N553" s="5">
        <f>L553+$B$483*$B$478*SQRT(1/$B$472+(K553-AVERAGE(Данные!$B$2:$B$75))^2/DEVSQ(Данные!$B$2:$B$75))</f>
        <v>19.987608674677922</v>
      </c>
      <c r="O553" s="5"/>
      <c r="P553" s="5"/>
      <c r="Q553" s="5"/>
      <c r="S553">
        <f t="shared" si="27"/>
        <v>1.1355932203389831</v>
      </c>
      <c r="T553">
        <f t="shared" si="28"/>
        <v>16.628915427376484</v>
      </c>
    </row>
    <row r="554" spans="1:20" x14ac:dyDescent="0.25">
      <c r="A554" s="5"/>
      <c r="B554" s="5"/>
      <c r="C554" s="5"/>
      <c r="D554" s="5" t="s">
        <v>61</v>
      </c>
      <c r="E554" s="9">
        <f>MEDIAN(E472:E478)</f>
        <v>18</v>
      </c>
      <c r="F554" s="9">
        <f>MEDIAN(F472:F483)</f>
        <v>17</v>
      </c>
      <c r="G554" s="9">
        <f>MEDIAN(G472:G496)</f>
        <v>16</v>
      </c>
      <c r="H554" s="9">
        <f>MEDIAN(H472:H495)</f>
        <v>15</v>
      </c>
      <c r="I554" s="9">
        <f>MEDIAN(I472:I477)</f>
        <v>14</v>
      </c>
      <c r="J554" s="5"/>
      <c r="K554" s="5">
        <f>1+3*4/59</f>
        <v>1.2033898305084745</v>
      </c>
      <c r="L554" s="5">
        <f t="shared" si="26"/>
        <v>18.221750531313109</v>
      </c>
      <c r="M554" s="5">
        <f>L554-$B$483*$B$478*SQRT(1/$B$472+(K554-AVERAGE(Данные!$B$2:$B$75))^2/DEVSQ(Данные!$B$2:$B$75))</f>
        <v>16.586271949826259</v>
      </c>
      <c r="N554" s="5">
        <f>L554+$B$483*$B$478*SQRT(1/$B$472+(K554-AVERAGE(Данные!$B$2:$B$75))^2/DEVSQ(Данные!$B$2:$B$75))</f>
        <v>19.85722911279996</v>
      </c>
      <c r="O554" s="5"/>
      <c r="P554" s="5"/>
      <c r="Q554" s="5"/>
      <c r="S554">
        <f t="shared" si="27"/>
        <v>1.2033898305084745</v>
      </c>
      <c r="T554">
        <f t="shared" si="28"/>
        <v>16.586271949826259</v>
      </c>
    </row>
    <row r="555" spans="1:20" x14ac:dyDescent="0.25">
      <c r="A555" s="5"/>
      <c r="B555" s="5"/>
      <c r="C555" s="5"/>
      <c r="D555" s="5" t="s">
        <v>62</v>
      </c>
      <c r="E555" s="9">
        <f>_xlfn.QUARTILE.INC(E472:E478,3)</f>
        <v>19.5</v>
      </c>
      <c r="F555" s="9">
        <f>_xlfn.QUARTILE.INC(F472:F483,3)</f>
        <v>18.75</v>
      </c>
      <c r="G555" s="9">
        <f>_xlfn.QUARTILE.INC(G472:G496,3)</f>
        <v>18</v>
      </c>
      <c r="H555" s="9">
        <f>_xlfn.QUARTILE.INC(H472:H495,3)</f>
        <v>16</v>
      </c>
      <c r="I555" s="9">
        <f>_xlfn.QUARTILE.INC(I472:I477,3)</f>
        <v>15.75</v>
      </c>
      <c r="J555" s="5"/>
      <c r="K555" s="5">
        <f>1+4*4/59</f>
        <v>1.271186440677966</v>
      </c>
      <c r="L555" s="5">
        <f t="shared" si="26"/>
        <v>18.135239011599012</v>
      </c>
      <c r="M555" s="5">
        <f>L555-$B$483*$B$478*SQRT(1/$B$472+(K555-AVERAGE(Данные!$B$2:$B$75))^2/DEVSQ(Данные!$B$2:$B$75))</f>
        <v>16.543262009938157</v>
      </c>
      <c r="N555" s="5">
        <f>L555+$B$483*$B$478*SQRT(1/$B$472+(K555-AVERAGE(Данные!$B$2:$B$75))^2/DEVSQ(Данные!$B$2:$B$75))</f>
        <v>19.727216013259866</v>
      </c>
      <c r="O555" s="5"/>
      <c r="P555" s="5"/>
      <c r="Q555" s="5"/>
      <c r="S555">
        <f t="shared" si="27"/>
        <v>1.271186440677966</v>
      </c>
      <c r="T555">
        <f t="shared" si="28"/>
        <v>16.543262009938157</v>
      </c>
    </row>
    <row r="556" spans="1:20" x14ac:dyDescent="0.25">
      <c r="A556" s="5"/>
      <c r="B556" s="5"/>
      <c r="C556" s="5"/>
      <c r="D556" s="5" t="s">
        <v>63</v>
      </c>
      <c r="E556" s="9">
        <f>E555-E553</f>
        <v>3.5</v>
      </c>
      <c r="F556" s="9">
        <f>F555-F553</f>
        <v>4</v>
      </c>
      <c r="G556" s="9">
        <f>G555-G553</f>
        <v>4</v>
      </c>
      <c r="H556" s="9">
        <f>H555-H553</f>
        <v>4</v>
      </c>
      <c r="I556" s="9">
        <f>I555-I553</f>
        <v>7.25</v>
      </c>
      <c r="J556" s="5"/>
      <c r="K556" s="5">
        <f>1+5*4/59</f>
        <v>1.3389830508474576</v>
      </c>
      <c r="L556" s="5">
        <f t="shared" si="26"/>
        <v>18.048727491884918</v>
      </c>
      <c r="M556" s="5">
        <f>L556-$B$483*$B$478*SQRT(1/$B$472+(K556-AVERAGE(Данные!$B$2:$B$75))^2/DEVSQ(Данные!$B$2:$B$75))</f>
        <v>16.499854730063724</v>
      </c>
      <c r="N556" s="5">
        <f>L556+$B$483*$B$478*SQRT(1/$B$472+(K556-AVERAGE(Данные!$B$2:$B$75))^2/DEVSQ(Данные!$B$2:$B$75))</f>
        <v>19.597600253706112</v>
      </c>
      <c r="O556" s="5"/>
      <c r="P556" s="5"/>
      <c r="Q556" s="5"/>
      <c r="S556">
        <f t="shared" si="27"/>
        <v>1.3389830508474576</v>
      </c>
      <c r="T556">
        <f t="shared" si="28"/>
        <v>16.499854730063724</v>
      </c>
    </row>
    <row r="557" spans="1:20" x14ac:dyDescent="0.25">
      <c r="A557" s="5"/>
      <c r="B557" s="5"/>
      <c r="C557" s="5"/>
      <c r="D557" s="5" t="s">
        <v>64</v>
      </c>
      <c r="E557" s="9">
        <f>E553-1.5*E556</f>
        <v>10.75</v>
      </c>
      <c r="F557" s="9">
        <f>F553-1.5*F556</f>
        <v>8.75</v>
      </c>
      <c r="G557" s="9">
        <f>G553-1.5*G556</f>
        <v>8</v>
      </c>
      <c r="H557" s="9">
        <f>H553-1.5*H556</f>
        <v>6</v>
      </c>
      <c r="I557" s="9">
        <f>I553-1.5*I556</f>
        <v>-2.375</v>
      </c>
      <c r="J557" s="5"/>
      <c r="K557" s="5">
        <f>1+6*4/59</f>
        <v>1.4067796610169492</v>
      </c>
      <c r="L557" s="5">
        <f t="shared" si="26"/>
        <v>17.962215972170824</v>
      </c>
      <c r="M557" s="5">
        <f>L557-$B$483*$B$478*SQRT(1/$B$472+(K557-AVERAGE(Данные!$B$2:$B$75))^2/DEVSQ(Данные!$B$2:$B$75))</f>
        <v>16.456015996740664</v>
      </c>
      <c r="N557" s="5">
        <f>L557+$B$483*$B$478*SQRT(1/$B$472+(K557-AVERAGE(Данные!$B$2:$B$75))^2/DEVSQ(Данные!$B$2:$B$75))</f>
        <v>19.468415947600985</v>
      </c>
      <c r="O557" s="5"/>
      <c r="P557" s="5"/>
      <c r="Q557" s="5"/>
      <c r="S557">
        <f t="shared" si="27"/>
        <v>1.4067796610169492</v>
      </c>
      <c r="T557">
        <f t="shared" si="28"/>
        <v>16.456015996740664</v>
      </c>
    </row>
    <row r="558" spans="1:20" x14ac:dyDescent="0.25">
      <c r="A558" s="5"/>
      <c r="B558" s="5"/>
      <c r="C558" s="5"/>
      <c r="D558" s="5" t="s">
        <v>65</v>
      </c>
      <c r="E558" s="9">
        <f>E555+1.5*E556</f>
        <v>24.75</v>
      </c>
      <c r="F558" s="9">
        <f>F555+1.5*F556</f>
        <v>24.75</v>
      </c>
      <c r="G558" s="9">
        <f>G555+1.5*G556</f>
        <v>24</v>
      </c>
      <c r="H558" s="9">
        <f>H555+1.5*H556</f>
        <v>22</v>
      </c>
      <c r="I558" s="9">
        <f>I555+1.5*I556</f>
        <v>26.625</v>
      </c>
      <c r="J558" s="5"/>
      <c r="K558" s="5">
        <f>1+7*4/59</f>
        <v>1.4745762711864407</v>
      </c>
      <c r="L558" s="5">
        <f t="shared" si="26"/>
        <v>17.875704452456727</v>
      </c>
      <c r="M558" s="5">
        <f>L558-$B$483*$B$478*SQRT(1/$B$472+(K558-AVERAGE(Данные!$B$2:$B$75))^2/DEVSQ(Данные!$B$2:$B$75))</f>
        <v>16.411708081272806</v>
      </c>
      <c r="N558" s="5">
        <f>L558+$B$483*$B$478*SQRT(1/$B$472+(K558-AVERAGE(Данные!$B$2:$B$75))^2/DEVSQ(Данные!$B$2:$B$75))</f>
        <v>19.339700823640648</v>
      </c>
      <c r="O558" s="5"/>
      <c r="P558" s="5"/>
      <c r="Q558" s="5"/>
      <c r="S558">
        <f t="shared" si="27"/>
        <v>1.4745762711864407</v>
      </c>
      <c r="T558">
        <f t="shared" si="28"/>
        <v>16.411708081272806</v>
      </c>
    </row>
    <row r="559" spans="1:20" x14ac:dyDescent="0.25">
      <c r="A559" s="5"/>
      <c r="B559" s="5"/>
      <c r="C559" s="5"/>
      <c r="D559" s="5" t="s">
        <v>66</v>
      </c>
      <c r="E559" s="9">
        <f>_xlfn.MINIFS(E472:E478,E472:E478,"&gt;="&amp;E557)</f>
        <v>13</v>
      </c>
      <c r="F559" s="9">
        <f>_xlfn.MINIFS(F472:F483,F472:F483,"&gt;="&amp;F557)</f>
        <v>12</v>
      </c>
      <c r="G559" s="9">
        <f>_xlfn.MINIFS(G472:G496,G472:G496,"&gt;="&amp;G557)</f>
        <v>9</v>
      </c>
      <c r="H559" s="9">
        <f>_xlfn.MINIFS(H472:H495,H472:H495,"&gt;="&amp;H557)</f>
        <v>8</v>
      </c>
      <c r="I559" s="9">
        <f>_xlfn.MINIFS(I472:I477,I472:I477,"&gt;="&amp;I557)</f>
        <v>6</v>
      </c>
      <c r="J559" s="5"/>
      <c r="K559" s="5">
        <f>1+8*4/59</f>
        <v>1.5423728813559321</v>
      </c>
      <c r="L559" s="5">
        <f t="shared" si="26"/>
        <v>17.789192932742633</v>
      </c>
      <c r="M559" s="5">
        <f>L559-$B$483*$B$478*SQRT(1/$B$472+(K559-AVERAGE(Данные!$B$2:$B$75))^2/DEVSQ(Данные!$B$2:$B$75))</f>
        <v>16.36688921733117</v>
      </c>
      <c r="N559" s="5">
        <f>L559+$B$483*$B$478*SQRT(1/$B$472+(K559-AVERAGE(Данные!$B$2:$B$75))^2/DEVSQ(Данные!$B$2:$B$75))</f>
        <v>19.211496648154096</v>
      </c>
      <c r="O559" s="5"/>
      <c r="P559" s="5"/>
      <c r="Q559" s="5"/>
      <c r="S559">
        <f t="shared" si="27"/>
        <v>1.5423728813559321</v>
      </c>
      <c r="T559">
        <f t="shared" si="28"/>
        <v>16.36688921733117</v>
      </c>
    </row>
    <row r="560" spans="1:20" x14ac:dyDescent="0.25">
      <c r="A560" s="5"/>
      <c r="B560" s="5"/>
      <c r="C560" s="5"/>
      <c r="D560" s="5" t="s">
        <v>67</v>
      </c>
      <c r="E560" s="9">
        <f>_xlfn.MAXIFS(E472:E478,E472:E478,"&lt;="&amp;E558)</f>
        <v>22</v>
      </c>
      <c r="F560" s="9">
        <f>_xlfn.MAXIFS(F472:F483,F472:F483,"&lt;="&amp;F558)</f>
        <v>24</v>
      </c>
      <c r="G560" s="9">
        <f>_xlfn.MAXIFS(G472:G496,G472:G496,"&lt;="&amp;G558)</f>
        <v>24</v>
      </c>
      <c r="H560" s="9">
        <f>_xlfn.MAXIFS(H472:H495,H472:H495,"&lt;="&amp;H558)</f>
        <v>19</v>
      </c>
      <c r="I560" s="9">
        <f>_xlfn.MAXIFS(I472:I477,I472:I477,"&lt;="&amp;I558)</f>
        <v>19</v>
      </c>
      <c r="J560" s="5"/>
      <c r="K560" s="5">
        <f>1+9*4/59</f>
        <v>1.6101694915254239</v>
      </c>
      <c r="L560" s="5">
        <f t="shared" si="26"/>
        <v>17.702681413028536</v>
      </c>
      <c r="M560" s="5">
        <f>L560-$B$483*$B$478*SQRT(1/$B$472+(K560-AVERAGE(Данные!$B$2:$B$75))^2/DEVSQ(Данные!$B$2:$B$75))</f>
        <v>16.321513132880717</v>
      </c>
      <c r="N560" s="5">
        <f>L560+$B$483*$B$478*SQRT(1/$B$472+(K560-AVERAGE(Данные!$B$2:$B$75))^2/DEVSQ(Данные!$B$2:$B$75))</f>
        <v>19.083849693176354</v>
      </c>
      <c r="O560" s="5"/>
      <c r="P560" s="5"/>
      <c r="Q560" s="5"/>
      <c r="S560">
        <f t="shared" si="27"/>
        <v>1.6101694915254239</v>
      </c>
      <c r="T560">
        <f t="shared" si="28"/>
        <v>16.321513132880717</v>
      </c>
    </row>
    <row r="561" spans="1:22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>
        <f>1+10*4/59</f>
        <v>1.6779661016949152</v>
      </c>
      <c r="L561" s="5">
        <f t="shared" si="26"/>
        <v>17.616169893314442</v>
      </c>
      <c r="M561" s="5">
        <f>L561-$B$483*$B$478*SQRT(1/$B$472+(K561-AVERAGE(Данные!$B$2:$B$75))^2/DEVSQ(Данные!$B$2:$B$75))</f>
        <v>16.275528534680674</v>
      </c>
      <c r="N561" s="5">
        <f>L561+$B$483*$B$478*SQRT(1/$B$472+(K561-AVERAGE(Данные!$B$2:$B$75))^2/DEVSQ(Данные!$B$2:$B$75))</f>
        <v>18.95681125194821</v>
      </c>
      <c r="O561" s="5"/>
      <c r="P561" s="5"/>
      <c r="Q561" s="5"/>
      <c r="S561">
        <f t="shared" si="27"/>
        <v>1.6779661016949152</v>
      </c>
      <c r="T561">
        <f t="shared" si="28"/>
        <v>16.275528534680674</v>
      </c>
    </row>
    <row r="562" spans="1:22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>
        <f>1+11*4/59</f>
        <v>1.7457627118644068</v>
      </c>
      <c r="L562" s="5">
        <f t="shared" si="26"/>
        <v>17.529658373600345</v>
      </c>
      <c r="M562" s="5">
        <f>L562-$B$483*$B$478*SQRT(1/$B$472+(K562-AVERAGE(Данные!$B$2:$B$75))^2/DEVSQ(Данные!$B$2:$B$75))</f>
        <v>16.228878545169731</v>
      </c>
      <c r="N562" s="5">
        <f>L562+$B$483*$B$478*SQRT(1/$B$472+(K562-AVERAGE(Данные!$B$2:$B$75))^2/DEVSQ(Данные!$B$2:$B$75))</f>
        <v>18.830438202030958</v>
      </c>
      <c r="O562" s="5"/>
      <c r="P562" s="5"/>
      <c r="Q562" s="5"/>
      <c r="S562">
        <f t="shared" si="27"/>
        <v>1.7457627118644068</v>
      </c>
      <c r="T562">
        <f t="shared" si="28"/>
        <v>16.228878545169731</v>
      </c>
    </row>
    <row r="563" spans="1:22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>
        <f>1+12*4/59</f>
        <v>1.8135593220338984</v>
      </c>
      <c r="L563" s="5">
        <f t="shared" si="26"/>
        <v>17.443146853886251</v>
      </c>
      <c r="M563" s="5">
        <f>L563-$B$483*$B$478*SQRT(1/$B$472+(K563-AVERAGE(Данные!$B$2:$B$75))^2/DEVSQ(Данные!$B$2:$B$75))</f>
        <v>16.181500093971163</v>
      </c>
      <c r="N563" s="5">
        <f>L563+$B$483*$B$478*SQRT(1/$B$472+(K563-AVERAGE(Данные!$B$2:$B$75))^2/DEVSQ(Данные!$B$2:$B$75))</f>
        <v>18.704793613801339</v>
      </c>
      <c r="O563" s="5"/>
      <c r="P563" s="5"/>
      <c r="Q563" s="5"/>
      <c r="S563">
        <f t="shared" si="27"/>
        <v>1.8135593220338984</v>
      </c>
      <c r="T563">
        <f t="shared" si="28"/>
        <v>16.181500093971163</v>
      </c>
    </row>
    <row r="564" spans="1:22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>
        <f>1+13*4/59</f>
        <v>1.8813559322033897</v>
      </c>
      <c r="L564" s="5">
        <f t="shared" si="26"/>
        <v>17.356635334172154</v>
      </c>
      <c r="M564" s="5">
        <f>L564-$B$483*$B$478*SQRT(1/$B$472+(K564-AVERAGE(Данные!$B$2:$B$75))^2/DEVSQ(Данные!$B$2:$B$75))</f>
        <v>16.133323269841803</v>
      </c>
      <c r="N564" s="5">
        <f>L564+$B$483*$B$478*SQRT(1/$B$472+(K564-AVERAGE(Данные!$B$2:$B$75))^2/DEVSQ(Данные!$B$2:$B$75))</f>
        <v>18.579947398502505</v>
      </c>
      <c r="O564" s="5"/>
      <c r="P564" s="5"/>
      <c r="Q564" s="5"/>
      <c r="S564">
        <f t="shared" si="27"/>
        <v>1.8813559322033897</v>
      </c>
      <c r="T564">
        <f t="shared" si="28"/>
        <v>16.133323269841803</v>
      </c>
    </row>
    <row r="565" spans="1:22" x14ac:dyDescent="0.25">
      <c r="A565" s="5"/>
      <c r="B565" s="5" t="str">
        <f>Спирман_графики!D71&amp;CHAR(10)&amp;Спирман_графики!B73</f>
        <v>К3 в зависимости от Л1
ρ = −0,363; p = 0,0015; n = 74</v>
      </c>
      <c r="C565" s="5"/>
      <c r="D565" s="5"/>
      <c r="E565" s="5"/>
      <c r="F565" s="5"/>
      <c r="G565" s="5"/>
      <c r="H565" s="5"/>
      <c r="I565" s="5"/>
      <c r="J565" s="5"/>
      <c r="K565" s="5">
        <f>1+14*4/59</f>
        <v>1.9491525423728815</v>
      </c>
      <c r="L565" s="5">
        <f t="shared" si="26"/>
        <v>17.27012381445806</v>
      </c>
      <c r="M565" s="5">
        <f>L565-$B$483*$B$478*SQRT(1/$B$472+(K565-AVERAGE(Данные!$B$2:$B$75))^2/DEVSQ(Данные!$B$2:$B$75))</f>
        <v>16.084270644015866</v>
      </c>
      <c r="N565" s="5">
        <f>L565+$B$483*$B$478*SQRT(1/$B$472+(K565-AVERAGE(Данные!$B$2:$B$75))^2/DEVSQ(Данные!$B$2:$B$75))</f>
        <v>18.455976984900254</v>
      </c>
      <c r="O565" s="5"/>
      <c r="P565" s="5"/>
      <c r="Q565" s="5"/>
      <c r="S565">
        <f t="shared" si="27"/>
        <v>1.9491525423728815</v>
      </c>
      <c r="T565">
        <f t="shared" si="28"/>
        <v>16.084270644015866</v>
      </c>
    </row>
    <row r="566" spans="1:22" x14ac:dyDescent="0.25">
      <c r="A566" s="5"/>
      <c r="B566" s="5" t="str">
        <f>Регрессия_графики!D71&amp;CHAR(10)&amp;Регрессия_графики!B73</f>
        <v>Линейная регрессия К3 по Л1
ŷ = 19,757 − 1,276x; R² = 0,141; p = 0,0010; n = 74</v>
      </c>
      <c r="C566" s="5"/>
      <c r="D566" s="5"/>
      <c r="E566" s="5"/>
      <c r="F566" s="5"/>
      <c r="G566" s="5"/>
      <c r="H566" s="5"/>
      <c r="I566" s="5"/>
      <c r="J566" s="5"/>
      <c r="K566" s="5">
        <f>1+15*4/59</f>
        <v>2.0169491525423728</v>
      </c>
      <c r="L566" s="5">
        <f t="shared" si="26"/>
        <v>17.183612294743966</v>
      </c>
      <c r="M566" s="5">
        <f>L566-$B$483*$B$478*SQRT(1/$B$472+(K566-AVERAGE(Данные!$B$2:$B$75))^2/DEVSQ(Данные!$B$2:$B$75))</f>
        <v>16.034256582991031</v>
      </c>
      <c r="N566" s="5">
        <f>L566+$B$483*$B$478*SQRT(1/$B$472+(K566-AVERAGE(Данные!$B$2:$B$75))^2/DEVSQ(Данные!$B$2:$B$75))</f>
        <v>18.332968006496902</v>
      </c>
      <c r="O566" s="5"/>
      <c r="P566" s="5"/>
      <c r="Q566" s="5"/>
      <c r="S566">
        <f t="shared" si="27"/>
        <v>2.0169491525423728</v>
      </c>
      <c r="T566">
        <f t="shared" si="28"/>
        <v>16.034256582991031</v>
      </c>
    </row>
    <row r="567" spans="1:22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>
        <f>1+16*4/59</f>
        <v>2.0847457627118642</v>
      </c>
      <c r="L567" s="5">
        <f t="shared" si="26"/>
        <v>17.097100775029869</v>
      </c>
      <c r="M567" s="5">
        <f>L567-$B$483*$B$478*SQRT(1/$B$472+(K567-AVERAGE(Данные!$B$2:$B$75))^2/DEVSQ(Данные!$B$2:$B$75))</f>
        <v>15.983186578329748</v>
      </c>
      <c r="N567" s="5">
        <f>L567+$B$483*$B$478*SQRT(1/$B$472+(K567-AVERAGE(Данные!$B$2:$B$75))^2/DEVSQ(Данные!$B$2:$B$75))</f>
        <v>18.211014971729988</v>
      </c>
      <c r="O567" s="5"/>
      <c r="P567" s="5"/>
      <c r="Q567" s="5"/>
      <c r="S567">
        <f t="shared" si="27"/>
        <v>2.0847457627118642</v>
      </c>
      <c r="T567">
        <f t="shared" si="28"/>
        <v>15.983186578329748</v>
      </c>
    </row>
    <row r="568" spans="1:22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>
        <f>1+17*4/59</f>
        <v>2.152542372881356</v>
      </c>
      <c r="L568" s="5">
        <f t="shared" si="26"/>
        <v>17.010589255315775</v>
      </c>
      <c r="M568" s="5">
        <f>L568-$B$483*$B$478*SQRT(1/$B$472+(K568-AVERAGE(Данные!$B$2:$B$75))^2/DEVSQ(Данные!$B$2:$B$75))</f>
        <v>15.930956633420381</v>
      </c>
      <c r="N568" s="5">
        <f>L568+$B$483*$B$478*SQRT(1/$B$472+(K568-AVERAGE(Данные!$B$2:$B$75))^2/DEVSQ(Данные!$B$2:$B$75))</f>
        <v>18.090221877211171</v>
      </c>
      <c r="O568" s="5"/>
      <c r="P568" s="5"/>
      <c r="Q568" s="5"/>
      <c r="S568">
        <f t="shared" si="27"/>
        <v>2.152542372881356</v>
      </c>
      <c r="T568">
        <f t="shared" si="28"/>
        <v>15.930956633420381</v>
      </c>
    </row>
    <row r="569" spans="1:22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>
        <f>1+18*4/59</f>
        <v>2.2203389830508478</v>
      </c>
      <c r="L569" s="5">
        <f t="shared" si="26"/>
        <v>16.924077735601678</v>
      </c>
      <c r="M569" s="5">
        <f>L569-$B$483*$B$478*SQRT(1/$B$472+(K569-AVERAGE(Данные!$B$2:$B$75))^2/DEVSQ(Данные!$B$2:$B$75))</f>
        <v>15.877452762609416</v>
      </c>
      <c r="N569" s="5">
        <f>L569+$B$483*$B$478*SQRT(1/$B$472+(K569-AVERAGE(Данные!$B$2:$B$75))^2/DEVSQ(Данные!$B$2:$B$75))</f>
        <v>17.97070270859394</v>
      </c>
      <c r="O569" s="5"/>
      <c r="P569" s="5"/>
      <c r="Q569" s="5"/>
      <c r="S569">
        <f t="shared" si="27"/>
        <v>2.2203389830508478</v>
      </c>
      <c r="T569">
        <f t="shared" si="28"/>
        <v>15.877452762609416</v>
      </c>
      <c r="U569" t="s">
        <v>68</v>
      </c>
    </row>
    <row r="570" spans="1:22" x14ac:dyDescent="0.25">
      <c r="A570" s="5">
        <v>0.75</v>
      </c>
      <c r="B570" s="5">
        <f>E553</f>
        <v>16</v>
      </c>
      <c r="C570" s="5"/>
      <c r="D570" s="5"/>
      <c r="E570" s="5"/>
      <c r="F570" s="5"/>
      <c r="G570" s="5"/>
      <c r="H570" s="5"/>
      <c r="I570" s="5"/>
      <c r="J570" s="5"/>
      <c r="K570" s="5">
        <f>1+19*4/59</f>
        <v>2.2881355932203391</v>
      </c>
      <c r="L570" s="5">
        <f t="shared" si="26"/>
        <v>16.837566215887584</v>
      </c>
      <c r="M570" s="5">
        <f>L570-$B$483*$B$478*SQRT(1/$B$472+(K570-AVERAGE(Данные!$B$2:$B$75))^2/DEVSQ(Данные!$B$2:$B$75))</f>
        <v>15.822550676547888</v>
      </c>
      <c r="N570" s="5">
        <f>L570+$B$483*$B$478*SQRT(1/$B$472+(K570-AVERAGE(Данные!$B$2:$B$75))^2/DEVSQ(Данные!$B$2:$B$75))</f>
        <v>17.852581755227281</v>
      </c>
      <c r="O570" s="5"/>
      <c r="P570" s="5"/>
      <c r="Q570" s="5"/>
      <c r="S570">
        <f t="shared" si="27"/>
        <v>2.2881355932203391</v>
      </c>
      <c r="T570">
        <f t="shared" si="28"/>
        <v>15.822550676547888</v>
      </c>
      <c r="U570">
        <f>A576</f>
        <v>0.75</v>
      </c>
      <c r="V570">
        <f>B576</f>
        <v>18</v>
      </c>
    </row>
    <row r="571" spans="1:22" x14ac:dyDescent="0.25">
      <c r="A571" s="5">
        <v>1.25</v>
      </c>
      <c r="B571" s="5">
        <f>E553</f>
        <v>16</v>
      </c>
      <c r="C571" s="5"/>
      <c r="D571" s="5"/>
      <c r="E571" s="5"/>
      <c r="F571" s="5"/>
      <c r="G571" s="5"/>
      <c r="H571" s="5"/>
      <c r="I571" s="5"/>
      <c r="J571" s="5"/>
      <c r="K571" s="5">
        <f>1+20*4/59</f>
        <v>2.3559322033898304</v>
      </c>
      <c r="L571" s="5">
        <f t="shared" si="26"/>
        <v>16.751054696173487</v>
      </c>
      <c r="M571" s="5">
        <f>L571-$B$483*$B$478*SQRT(1/$B$472+(K571-AVERAGE(Данные!$B$2:$B$75))^2/DEVSQ(Данные!$B$2:$B$75))</f>
        <v>15.766115748171764</v>
      </c>
      <c r="N571" s="5">
        <f>L571+$B$483*$B$478*SQRT(1/$B$472+(K571-AVERAGE(Данные!$B$2:$B$75))^2/DEVSQ(Данные!$B$2:$B$75))</f>
        <v>17.73599364417521</v>
      </c>
      <c r="O571" s="5"/>
      <c r="P571" s="5"/>
      <c r="Q571" s="5"/>
      <c r="S571">
        <f t="shared" si="27"/>
        <v>2.3559322033898304</v>
      </c>
      <c r="T571">
        <f t="shared" si="28"/>
        <v>15.766115748171764</v>
      </c>
      <c r="U571">
        <f>A577</f>
        <v>1.25</v>
      </c>
      <c r="V571">
        <f>B577</f>
        <v>18</v>
      </c>
    </row>
    <row r="572" spans="1:22" x14ac:dyDescent="0.25">
      <c r="A572" s="5">
        <v>1.25</v>
      </c>
      <c r="B572" s="5">
        <f>E555</f>
        <v>19.5</v>
      </c>
      <c r="C572" s="5"/>
      <c r="D572" s="5"/>
      <c r="E572" s="5"/>
      <c r="F572" s="5"/>
      <c r="G572" s="5"/>
      <c r="H572" s="5"/>
      <c r="I572" s="5"/>
      <c r="J572" s="5"/>
      <c r="K572" s="5">
        <f>1+21*4/59</f>
        <v>2.4237288135593218</v>
      </c>
      <c r="L572" s="5">
        <f t="shared" si="26"/>
        <v>16.664543176459393</v>
      </c>
      <c r="M572" s="5">
        <f>L572-$B$483*$B$478*SQRT(1/$B$472+(K572-AVERAGE(Данные!$B$2:$B$75))^2/DEVSQ(Данные!$B$2:$B$75))</f>
        <v>15.708003374537853</v>
      </c>
      <c r="N572" s="5">
        <f>L572+$B$483*$B$478*SQRT(1/$B$472+(K572-AVERAGE(Данные!$B$2:$B$75))^2/DEVSQ(Данные!$B$2:$B$75))</f>
        <v>17.621082978380933</v>
      </c>
      <c r="O572" s="5"/>
      <c r="P572" s="5"/>
      <c r="Q572" s="5"/>
      <c r="S572">
        <f t="shared" si="27"/>
        <v>2.4237288135593218</v>
      </c>
      <c r="T572">
        <f t="shared" si="28"/>
        <v>15.708003374537853</v>
      </c>
    </row>
    <row r="573" spans="1:22" x14ac:dyDescent="0.25">
      <c r="A573" s="5">
        <v>0.75</v>
      </c>
      <c r="B573" s="5">
        <f>E555</f>
        <v>19.5</v>
      </c>
      <c r="C573" s="5"/>
      <c r="D573" s="5"/>
      <c r="E573" s="5"/>
      <c r="F573" s="5"/>
      <c r="G573" s="5"/>
      <c r="H573" s="5"/>
      <c r="I573" s="5"/>
      <c r="J573" s="5"/>
      <c r="K573" s="5">
        <f>1+22*4/59</f>
        <v>2.4915254237288136</v>
      </c>
      <c r="L573" s="5">
        <f t="shared" si="26"/>
        <v>16.578031656745296</v>
      </c>
      <c r="M573" s="5">
        <f>L573-$B$483*$B$478*SQRT(1/$B$472+(K573-AVERAGE(Данные!$B$2:$B$75))^2/DEVSQ(Данные!$B$2:$B$75))</f>
        <v>15.648059867275778</v>
      </c>
      <c r="N573" s="5">
        <f>L573+$B$483*$B$478*SQRT(1/$B$472+(K573-AVERAGE(Данные!$B$2:$B$75))^2/DEVSQ(Данные!$B$2:$B$75))</f>
        <v>17.508003446214811</v>
      </c>
      <c r="O573" s="5"/>
      <c r="P573" s="5"/>
      <c r="Q573" s="5"/>
      <c r="S573">
        <f t="shared" si="27"/>
        <v>2.4915254237288136</v>
      </c>
      <c r="T573">
        <f t="shared" si="28"/>
        <v>15.648059867275778</v>
      </c>
      <c r="U573">
        <f>A595</f>
        <v>1.75</v>
      </c>
      <c r="V573">
        <f>B595</f>
        <v>17</v>
      </c>
    </row>
    <row r="574" spans="1:22" x14ac:dyDescent="0.25">
      <c r="A574" s="5">
        <v>0.75</v>
      </c>
      <c r="B574" s="5">
        <f>E553</f>
        <v>16</v>
      </c>
      <c r="C574" s="5"/>
      <c r="D574" s="5"/>
      <c r="E574" s="5"/>
      <c r="F574" s="5"/>
      <c r="G574" s="5"/>
      <c r="H574" s="5"/>
      <c r="I574" s="5"/>
      <c r="J574" s="5"/>
      <c r="K574" s="5">
        <f>1+23*4/59</f>
        <v>2.5593220338983054</v>
      </c>
      <c r="L574" s="5">
        <f t="shared" si="26"/>
        <v>16.491520137031202</v>
      </c>
      <c r="M574" s="5">
        <f>L574-$B$483*$B$478*SQRT(1/$B$472+(K574-AVERAGE(Данные!$B$2:$B$75))^2/DEVSQ(Данные!$B$2:$B$75))</f>
        <v>15.586124013261143</v>
      </c>
      <c r="N574" s="5">
        <f>L574+$B$483*$B$478*SQRT(1/$B$472+(K574-AVERAGE(Данные!$B$2:$B$75))^2/DEVSQ(Данные!$B$2:$B$75))</f>
        <v>17.396916260801262</v>
      </c>
      <c r="O574" s="5"/>
      <c r="P574" s="5"/>
      <c r="Q574" s="5"/>
      <c r="S574">
        <f t="shared" si="27"/>
        <v>2.5593220338983054</v>
      </c>
      <c r="T574">
        <f t="shared" si="28"/>
        <v>15.586124013261143</v>
      </c>
      <c r="U574">
        <f>A596</f>
        <v>2.25</v>
      </c>
      <c r="V574">
        <f>B596</f>
        <v>17</v>
      </c>
    </row>
    <row r="575" spans="1:22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>
        <f>1+24*4/59</f>
        <v>2.6271186440677967</v>
      </c>
      <c r="L575" s="5">
        <f t="shared" si="26"/>
        <v>16.405008617317105</v>
      </c>
      <c r="M575" s="5">
        <f>L575-$B$483*$B$478*SQRT(1/$B$472+(K575-AVERAGE(Данные!$B$2:$B$75))^2/DEVSQ(Данные!$B$2:$B$75))</f>
        <v>15.52202943984674</v>
      </c>
      <c r="N575" s="5">
        <f>L575+$B$483*$B$478*SQRT(1/$B$472+(K575-AVERAGE(Данные!$B$2:$B$75))^2/DEVSQ(Данные!$B$2:$B$75))</f>
        <v>17.287987794787469</v>
      </c>
      <c r="O575" s="5"/>
      <c r="P575" s="5"/>
      <c r="Q575" s="5"/>
      <c r="S575">
        <f t="shared" si="27"/>
        <v>2.6271186440677967</v>
      </c>
      <c r="T575">
        <f t="shared" si="28"/>
        <v>15.52202943984674</v>
      </c>
    </row>
    <row r="576" spans="1:22" x14ac:dyDescent="0.25">
      <c r="A576" s="5">
        <v>0.75</v>
      </c>
      <c r="B576" s="5">
        <f>E554</f>
        <v>18</v>
      </c>
      <c r="C576" s="5"/>
      <c r="D576" s="5"/>
      <c r="E576" s="5"/>
      <c r="F576" s="5"/>
      <c r="G576" s="5"/>
      <c r="H576" s="5"/>
      <c r="I576" s="5"/>
      <c r="J576" s="5"/>
      <c r="K576" s="5">
        <f>1+25*4/59</f>
        <v>2.6949152542372881</v>
      </c>
      <c r="L576" s="5">
        <f t="shared" si="26"/>
        <v>16.318497097603011</v>
      </c>
      <c r="M576" s="5">
        <f>L576-$B$483*$B$478*SQRT(1/$B$472+(K576-AVERAGE(Данные!$B$2:$B$75))^2/DEVSQ(Данные!$B$2:$B$75))</f>
        <v>15.455607886907739</v>
      </c>
      <c r="N576" s="5">
        <f>L576+$B$483*$B$478*SQRT(1/$B$472+(K576-AVERAGE(Данные!$B$2:$B$75))^2/DEVSQ(Данные!$B$2:$B$75))</f>
        <v>17.181386308298283</v>
      </c>
      <c r="O576" s="5"/>
      <c r="P576" s="5"/>
      <c r="Q576" s="5"/>
      <c r="S576">
        <f t="shared" si="27"/>
        <v>2.6949152542372881</v>
      </c>
      <c r="T576">
        <f t="shared" si="28"/>
        <v>15.455607886907739</v>
      </c>
      <c r="U576">
        <f>A614</f>
        <v>2.75</v>
      </c>
      <c r="V576">
        <f>B614</f>
        <v>16</v>
      </c>
    </row>
    <row r="577" spans="1:22" x14ac:dyDescent="0.25">
      <c r="A577" s="5">
        <v>1.25</v>
      </c>
      <c r="B577" s="5">
        <f>E554</f>
        <v>18</v>
      </c>
      <c r="C577" s="5"/>
      <c r="D577" s="5"/>
      <c r="E577" s="5"/>
      <c r="F577" s="5"/>
      <c r="G577" s="5"/>
      <c r="H577" s="5"/>
      <c r="I577" s="5"/>
      <c r="J577" s="5"/>
      <c r="K577" s="5">
        <f>1+26*4/59</f>
        <v>2.7627118644067794</v>
      </c>
      <c r="L577" s="5">
        <f t="shared" si="26"/>
        <v>16.231985577888917</v>
      </c>
      <c r="M577" s="5">
        <f>L577-$B$483*$B$478*SQRT(1/$B$472+(K577-AVERAGE(Данные!$B$2:$B$75))^2/DEVSQ(Данные!$B$2:$B$75))</f>
        <v>15.386693422949541</v>
      </c>
      <c r="N577" s="5">
        <f>L577+$B$483*$B$478*SQRT(1/$B$472+(K577-AVERAGE(Данные!$B$2:$B$75))^2/DEVSQ(Данные!$B$2:$B$75))</f>
        <v>17.077277732828293</v>
      </c>
      <c r="O577" s="5"/>
      <c r="P577" s="5"/>
      <c r="Q577" s="5"/>
      <c r="S577">
        <f t="shared" si="27"/>
        <v>2.7627118644067794</v>
      </c>
      <c r="T577">
        <f t="shared" si="28"/>
        <v>15.386693422949541</v>
      </c>
      <c r="U577">
        <f>A615</f>
        <v>3.25</v>
      </c>
      <c r="V577">
        <f>B615</f>
        <v>16</v>
      </c>
    </row>
    <row r="578" spans="1:22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>
        <f>1+27*4/59</f>
        <v>2.8305084745762712</v>
      </c>
      <c r="L578" s="5">
        <f t="shared" si="26"/>
        <v>16.14547405817482</v>
      </c>
      <c r="M578" s="5">
        <f>L578-$B$483*$B$478*SQRT(1/$B$472+(K578-AVERAGE(Данные!$B$2:$B$75))^2/DEVSQ(Данные!$B$2:$B$75))</f>
        <v>15.315127540358628</v>
      </c>
      <c r="N578" s="5">
        <f>L578+$B$483*$B$478*SQRT(1/$B$472+(K578-AVERAGE(Данные!$B$2:$B$75))^2/DEVSQ(Данные!$B$2:$B$75))</f>
        <v>16.975820575991012</v>
      </c>
      <c r="O578" s="5"/>
      <c r="P578" s="5"/>
      <c r="Q578" s="5"/>
      <c r="S578">
        <f t="shared" si="27"/>
        <v>2.8305084745762712</v>
      </c>
      <c r="T578">
        <f t="shared" si="28"/>
        <v>15.315127540358628</v>
      </c>
    </row>
    <row r="579" spans="1:22" x14ac:dyDescent="0.25">
      <c r="A579" s="5">
        <v>0.87</v>
      </c>
      <c r="B579" s="5">
        <f>E559</f>
        <v>13</v>
      </c>
      <c r="C579" s="5"/>
      <c r="D579" s="5"/>
      <c r="E579" s="5"/>
      <c r="F579" s="5"/>
      <c r="G579" s="5"/>
      <c r="H579" s="5"/>
      <c r="I579" s="5"/>
      <c r="J579" s="5"/>
      <c r="K579" s="5">
        <f>1+28*4/59</f>
        <v>2.898305084745763</v>
      </c>
      <c r="L579" s="5">
        <f t="shared" si="26"/>
        <v>16.058962538460726</v>
      </c>
      <c r="M579" s="5">
        <f>L579-$B$483*$B$478*SQRT(1/$B$472+(K579-AVERAGE(Данные!$B$2:$B$75))^2/DEVSQ(Данные!$B$2:$B$75))</f>
        <v>15.240764929519845</v>
      </c>
      <c r="N579" s="5">
        <f>L579+$B$483*$B$478*SQRT(1/$B$472+(K579-AVERAGE(Данные!$B$2:$B$75))^2/DEVSQ(Данные!$B$2:$B$75))</f>
        <v>16.877160147401607</v>
      </c>
      <c r="O579" s="5"/>
      <c r="P579" s="5"/>
      <c r="Q579" s="5"/>
      <c r="S579">
        <f t="shared" si="27"/>
        <v>2.898305084745763</v>
      </c>
      <c r="T579">
        <f t="shared" si="28"/>
        <v>15.240764929519845</v>
      </c>
      <c r="U579">
        <f>A633</f>
        <v>3.75</v>
      </c>
      <c r="V579">
        <f>B633</f>
        <v>15</v>
      </c>
    </row>
    <row r="580" spans="1:22" x14ac:dyDescent="0.25">
      <c r="A580" s="5">
        <v>1.1299999999999999</v>
      </c>
      <c r="B580" s="5">
        <f>E559</f>
        <v>13</v>
      </c>
      <c r="C580" s="5"/>
      <c r="D580" s="5"/>
      <c r="E580" s="5"/>
      <c r="F580" s="5"/>
      <c r="G580" s="5"/>
      <c r="H580" s="5"/>
      <c r="I580" s="5"/>
      <c r="J580" s="5"/>
      <c r="K580" s="5">
        <f>1+29*4/59</f>
        <v>2.9661016949152543</v>
      </c>
      <c r="L580" s="5">
        <f t="shared" si="26"/>
        <v>15.972451018746629</v>
      </c>
      <c r="M580" s="5">
        <f>L580-$B$483*$B$478*SQRT(1/$B$472+(K580-AVERAGE(Данные!$B$2:$B$75))^2/DEVSQ(Данные!$B$2:$B$75))</f>
        <v>15.163479579149808</v>
      </c>
      <c r="N580" s="5">
        <f>L580+$B$483*$B$478*SQRT(1/$B$472+(K580-AVERAGE(Данные!$B$2:$B$75))^2/DEVSQ(Данные!$B$2:$B$75))</f>
        <v>16.781422458343449</v>
      </c>
      <c r="O580" s="5"/>
      <c r="P580" s="5"/>
      <c r="Q580" s="5"/>
      <c r="S580">
        <f t="shared" si="27"/>
        <v>2.9661016949152543</v>
      </c>
      <c r="T580">
        <f t="shared" si="28"/>
        <v>15.163479579149808</v>
      </c>
      <c r="U580">
        <f>A634</f>
        <v>4.25</v>
      </c>
      <c r="V580">
        <f>B634</f>
        <v>15</v>
      </c>
    </row>
    <row r="581" spans="1:22" x14ac:dyDescent="0.25">
      <c r="A581" s="5">
        <v>1</v>
      </c>
      <c r="B581" s="5">
        <f>E559</f>
        <v>13</v>
      </c>
      <c r="C581" s="5"/>
      <c r="D581" s="5"/>
      <c r="E581" s="5"/>
      <c r="F581" s="5"/>
      <c r="G581" s="5"/>
      <c r="H581" s="5"/>
      <c r="I581" s="5"/>
      <c r="J581" s="5"/>
      <c r="K581" s="5">
        <f>1+30*4/59</f>
        <v>3.0338983050847457</v>
      </c>
      <c r="L581" s="5">
        <f t="shared" si="26"/>
        <v>15.885939499032535</v>
      </c>
      <c r="M581" s="5">
        <f>L581-$B$483*$B$478*SQRT(1/$B$472+(K581-AVERAGE(Данные!$B$2:$B$75))^2/DEVSQ(Данные!$B$2:$B$75))</f>
        <v>15.083170710358107</v>
      </c>
      <c r="N581" s="5">
        <f>L581+$B$483*$B$478*SQRT(1/$B$472+(K581-AVERAGE(Данные!$B$2:$B$75))^2/DEVSQ(Данные!$B$2:$B$75))</f>
        <v>16.688708287706962</v>
      </c>
      <c r="O581" s="5"/>
      <c r="P581" s="5"/>
      <c r="Q581" s="5"/>
      <c r="S581">
        <f t="shared" si="27"/>
        <v>3.0338983050847457</v>
      </c>
      <c r="T581">
        <f t="shared" si="28"/>
        <v>15.083170710358107</v>
      </c>
    </row>
    <row r="582" spans="1:22" x14ac:dyDescent="0.25">
      <c r="A582" s="5">
        <v>1</v>
      </c>
      <c r="B582" s="5">
        <f>E553</f>
        <v>16</v>
      </c>
      <c r="C582" s="5"/>
      <c r="D582" s="5"/>
      <c r="E582" s="5"/>
      <c r="F582" s="5"/>
      <c r="G582" s="5"/>
      <c r="H582" s="5"/>
      <c r="I582" s="5"/>
      <c r="J582" s="5"/>
      <c r="K582" s="5">
        <f>1+31*4/59</f>
        <v>3.1016949152542375</v>
      </c>
      <c r="L582" s="5">
        <f t="shared" si="26"/>
        <v>15.799427979318438</v>
      </c>
      <c r="M582" s="5">
        <f>L582-$B$483*$B$478*SQRT(1/$B$472+(K582-AVERAGE(Данные!$B$2:$B$75))^2/DEVSQ(Данные!$B$2:$B$75))</f>
        <v>14.999767963289163</v>
      </c>
      <c r="N582" s="5">
        <f>L582+$B$483*$B$478*SQRT(1/$B$472+(K582-AVERAGE(Данные!$B$2:$B$75))^2/DEVSQ(Данные!$B$2:$B$75))</f>
        <v>16.599087995347713</v>
      </c>
      <c r="O582" s="5"/>
      <c r="P582" s="5"/>
      <c r="Q582" s="5"/>
      <c r="S582">
        <f t="shared" si="27"/>
        <v>3.1016949152542375</v>
      </c>
      <c r="T582">
        <f t="shared" si="28"/>
        <v>14.999767963289163</v>
      </c>
      <c r="U582">
        <f>A652</f>
        <v>4.75</v>
      </c>
      <c r="V582">
        <f>B652</f>
        <v>14</v>
      </c>
    </row>
    <row r="583" spans="1:22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>
        <f>1+32*4/59</f>
        <v>3.1694915254237288</v>
      </c>
      <c r="L583" s="5">
        <f t="shared" ref="L583:L614" si="29">$B$475+$B$476*K583</f>
        <v>15.712916459604344</v>
      </c>
      <c r="M583" s="5">
        <f>L583-$B$483*$B$478*SQRT(1/$B$472+(K583-AVERAGE(Данные!$B$2:$B$75))^2/DEVSQ(Данные!$B$2:$B$75))</f>
        <v>14.913235254634671</v>
      </c>
      <c r="N583" s="5">
        <f>L583+$B$483*$B$478*SQRT(1/$B$472+(K583-AVERAGE(Данные!$B$2:$B$75))^2/DEVSQ(Данные!$B$2:$B$75))</f>
        <v>16.512597664574017</v>
      </c>
      <c r="O583" s="5"/>
      <c r="P583" s="5"/>
      <c r="Q583" s="5"/>
      <c r="S583">
        <f t="shared" ref="S583:S610" si="30">K583</f>
        <v>3.1694915254237288</v>
      </c>
      <c r="T583">
        <f t="shared" ref="T583:T610" si="31">M583</f>
        <v>14.913235254634671</v>
      </c>
      <c r="U583">
        <f>A653</f>
        <v>5.25</v>
      </c>
      <c r="V583">
        <f>B653</f>
        <v>14</v>
      </c>
    </row>
    <row r="584" spans="1:22" x14ac:dyDescent="0.25">
      <c r="A584" s="5">
        <v>1</v>
      </c>
      <c r="B584" s="5">
        <f>E555</f>
        <v>19.5</v>
      </c>
      <c r="C584" s="5"/>
      <c r="D584" s="5"/>
      <c r="E584" s="5"/>
      <c r="F584" s="5"/>
      <c r="G584" s="5"/>
      <c r="H584" s="5"/>
      <c r="I584" s="5"/>
      <c r="J584" s="5"/>
      <c r="K584" s="5">
        <f>1+33*4/59</f>
        <v>3.2372881355932202</v>
      </c>
      <c r="L584" s="5">
        <f t="shared" si="29"/>
        <v>15.626404939890248</v>
      </c>
      <c r="M584" s="5">
        <f>L584-$B$483*$B$478*SQRT(1/$B$472+(K584-AVERAGE(Данные!$B$2:$B$75))^2/DEVSQ(Данные!$B$2:$B$75))</f>
        <v>14.823572832219389</v>
      </c>
      <c r="N584" s="5">
        <f>L584+$B$483*$B$478*SQRT(1/$B$472+(K584-AVERAGE(Данные!$B$2:$B$75))^2/DEVSQ(Данные!$B$2:$B$75))</f>
        <v>16.429237047561106</v>
      </c>
      <c r="O584" s="5"/>
      <c r="P584" s="5"/>
      <c r="Q584" s="5"/>
      <c r="S584">
        <f t="shared" si="30"/>
        <v>3.2372881355932202</v>
      </c>
      <c r="T584">
        <f t="shared" si="31"/>
        <v>14.823572832219389</v>
      </c>
    </row>
    <row r="585" spans="1:22" x14ac:dyDescent="0.25">
      <c r="A585" s="5">
        <v>1</v>
      </c>
      <c r="B585" s="5">
        <f>E560</f>
        <v>22</v>
      </c>
      <c r="C585" s="5"/>
      <c r="D585" s="5"/>
      <c r="E585" s="5"/>
      <c r="F585" s="5"/>
      <c r="G585" s="5"/>
      <c r="H585" s="5"/>
      <c r="I585" s="5"/>
      <c r="J585" s="5"/>
      <c r="K585" s="5">
        <f>1+34*4/59</f>
        <v>3.3050847457627119</v>
      </c>
      <c r="L585" s="5">
        <f t="shared" si="29"/>
        <v>15.539893420176153</v>
      </c>
      <c r="M585" s="5">
        <f>L585-$B$483*$B$478*SQRT(1/$B$472+(K585-AVERAGE(Данные!$B$2:$B$75))^2/DEVSQ(Данные!$B$2:$B$75))</f>
        <v>14.730817260712536</v>
      </c>
      <c r="N585" s="5">
        <f>L585+$B$483*$B$478*SQRT(1/$B$472+(K585-AVERAGE(Данные!$B$2:$B$75))^2/DEVSQ(Данные!$B$2:$B$75))</f>
        <v>16.348969579639771</v>
      </c>
      <c r="O585" s="5"/>
      <c r="P585" s="5"/>
      <c r="Q585" s="5"/>
      <c r="S585">
        <f t="shared" si="30"/>
        <v>3.3050847457627119</v>
      </c>
      <c r="T585">
        <f t="shared" si="31"/>
        <v>14.730817260712536</v>
      </c>
    </row>
    <row r="586" spans="1:22" x14ac:dyDescent="0.25">
      <c r="A586" s="5">
        <v>0.87</v>
      </c>
      <c r="B586" s="5">
        <f>E560</f>
        <v>22</v>
      </c>
      <c r="C586" s="5"/>
      <c r="D586" s="5"/>
      <c r="E586" s="5"/>
      <c r="F586" s="5"/>
      <c r="G586" s="5"/>
      <c r="H586" s="5"/>
      <c r="I586" s="5"/>
      <c r="J586" s="5"/>
      <c r="K586" s="5">
        <f>1+35*4/59</f>
        <v>3.3728813559322033</v>
      </c>
      <c r="L586" s="5">
        <f t="shared" si="29"/>
        <v>15.453381900462057</v>
      </c>
      <c r="M586" s="5">
        <f>L586-$B$483*$B$478*SQRT(1/$B$472+(K586-AVERAGE(Данные!$B$2:$B$75))^2/DEVSQ(Данные!$B$2:$B$75))</f>
        <v>14.63503934034604</v>
      </c>
      <c r="N586" s="5">
        <f>L586+$B$483*$B$478*SQRT(1/$B$472+(K586-AVERAGE(Данные!$B$2:$B$75))^2/DEVSQ(Данные!$B$2:$B$75))</f>
        <v>16.271724460578074</v>
      </c>
      <c r="O586" s="5"/>
      <c r="P586" s="5"/>
      <c r="Q586" s="5"/>
      <c r="S586">
        <f t="shared" si="30"/>
        <v>3.3728813559322033</v>
      </c>
      <c r="T586">
        <f t="shared" si="31"/>
        <v>14.63503934034604</v>
      </c>
    </row>
    <row r="587" spans="1:22" x14ac:dyDescent="0.25">
      <c r="A587" s="5">
        <v>1.1299999999999999</v>
      </c>
      <c r="B587" s="5">
        <f>E560</f>
        <v>22</v>
      </c>
      <c r="C587" s="5"/>
      <c r="D587" s="5"/>
      <c r="E587" s="5"/>
      <c r="F587" s="5"/>
      <c r="G587" s="5"/>
      <c r="H587" s="5"/>
      <c r="I587" s="5"/>
      <c r="J587" s="5"/>
      <c r="K587" s="5">
        <f>1+36*4/59</f>
        <v>3.4406779661016951</v>
      </c>
      <c r="L587" s="5">
        <f t="shared" si="29"/>
        <v>15.366870380747962</v>
      </c>
      <c r="M587" s="5">
        <f>L587-$B$483*$B$478*SQRT(1/$B$472+(K587-AVERAGE(Данные!$B$2:$B$75))^2/DEVSQ(Данные!$B$2:$B$75))</f>
        <v>14.536340227916799</v>
      </c>
      <c r="N587" s="5">
        <f>L587+$B$483*$B$478*SQRT(1/$B$472+(K587-AVERAGE(Данные!$B$2:$B$75))^2/DEVSQ(Данные!$B$2:$B$75))</f>
        <v>16.197400533579124</v>
      </c>
      <c r="O587" s="5"/>
      <c r="P587" s="5"/>
      <c r="Q587" s="5"/>
      <c r="S587">
        <f t="shared" si="30"/>
        <v>3.4406779661016951</v>
      </c>
      <c r="T587">
        <f t="shared" si="31"/>
        <v>14.536340227916799</v>
      </c>
    </row>
    <row r="588" spans="1:22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>
        <f>1+37*4/59</f>
        <v>3.5084745762711864</v>
      </c>
      <c r="L588" s="5">
        <f t="shared" si="29"/>
        <v>15.280358861033866</v>
      </c>
      <c r="M588" s="5">
        <f>L588-$B$483*$B$478*SQRT(1/$B$472+(K588-AVERAGE(Данные!$B$2:$B$75))^2/DEVSQ(Данные!$B$2:$B$75))</f>
        <v>14.434846236050685</v>
      </c>
      <c r="N588" s="5">
        <f>L588+$B$483*$B$478*SQRT(1/$B$472+(K588-AVERAGE(Данные!$B$2:$B$75))^2/DEVSQ(Данные!$B$2:$B$75))</f>
        <v>16.125871486017047</v>
      </c>
      <c r="O588" s="5"/>
      <c r="P588" s="5"/>
      <c r="Q588" s="5"/>
      <c r="S588">
        <f t="shared" si="30"/>
        <v>3.5084745762711864</v>
      </c>
      <c r="T588">
        <f t="shared" si="31"/>
        <v>14.434846236050685</v>
      </c>
    </row>
    <row r="589" spans="1:22" x14ac:dyDescent="0.25">
      <c r="A589" s="5">
        <v>1.75</v>
      </c>
      <c r="B589" s="5">
        <f>F553</f>
        <v>14.75</v>
      </c>
      <c r="C589" s="5"/>
      <c r="D589" s="5"/>
      <c r="E589" s="5"/>
      <c r="F589" s="5"/>
      <c r="G589" s="5"/>
      <c r="H589" s="5"/>
      <c r="I589" s="5"/>
      <c r="J589" s="5"/>
      <c r="K589" s="5">
        <f>1+38*4/59</f>
        <v>3.5762711864406778</v>
      </c>
      <c r="L589" s="5">
        <f t="shared" si="29"/>
        <v>15.193847341319771</v>
      </c>
      <c r="M589" s="5">
        <f>L589-$B$483*$B$478*SQRT(1/$B$472+(K589-AVERAGE(Данные!$B$2:$B$75))^2/DEVSQ(Данные!$B$2:$B$75))</f>
        <v>14.330702893136374</v>
      </c>
      <c r="N589" s="5">
        <f>L589+$B$483*$B$478*SQRT(1/$B$472+(K589-AVERAGE(Данные!$B$2:$B$75))^2/DEVSQ(Данные!$B$2:$B$75))</f>
        <v>16.056991789503169</v>
      </c>
      <c r="O589" s="5"/>
      <c r="P589" s="5"/>
      <c r="Q589" s="5"/>
      <c r="S589">
        <f t="shared" si="30"/>
        <v>3.5762711864406778</v>
      </c>
      <c r="T589">
        <f t="shared" si="31"/>
        <v>14.330702893136374</v>
      </c>
    </row>
    <row r="590" spans="1:22" x14ac:dyDescent="0.25">
      <c r="A590" s="5">
        <v>2.25</v>
      </c>
      <c r="B590" s="5">
        <f>F553</f>
        <v>14.75</v>
      </c>
      <c r="C590" s="5"/>
      <c r="D590" s="5"/>
      <c r="E590" s="5"/>
      <c r="F590" s="5"/>
      <c r="G590" s="5"/>
      <c r="H590" s="5"/>
      <c r="I590" s="5"/>
      <c r="J590" s="5"/>
      <c r="K590" s="5">
        <f>1+39*4/59</f>
        <v>3.6440677966101696</v>
      </c>
      <c r="L590" s="5">
        <f t="shared" si="29"/>
        <v>15.107335821605675</v>
      </c>
      <c r="M590" s="5">
        <f>L590-$B$483*$B$478*SQRT(1/$B$472+(K590-AVERAGE(Данные!$B$2:$B$75))^2/DEVSQ(Данные!$B$2:$B$75))</f>
        <v>14.224068844393592</v>
      </c>
      <c r="N590" s="5">
        <f>L590+$B$483*$B$478*SQRT(1/$B$472+(K590-AVERAGE(Данные!$B$2:$B$75))^2/DEVSQ(Данные!$B$2:$B$75))</f>
        <v>15.990602798817758</v>
      </c>
      <c r="O590" s="5"/>
      <c r="P590" s="5"/>
      <c r="Q590" s="5"/>
      <c r="S590">
        <f t="shared" si="30"/>
        <v>3.6440677966101696</v>
      </c>
      <c r="T590">
        <f t="shared" si="31"/>
        <v>14.224068844393592</v>
      </c>
    </row>
    <row r="591" spans="1:22" x14ac:dyDescent="0.25">
      <c r="A591" s="5">
        <v>2.25</v>
      </c>
      <c r="B591" s="5">
        <f>F555</f>
        <v>18.75</v>
      </c>
      <c r="C591" s="5"/>
      <c r="D591" s="5"/>
      <c r="E591" s="5"/>
      <c r="F591" s="5"/>
      <c r="G591" s="5"/>
      <c r="H591" s="5"/>
      <c r="I591" s="5"/>
      <c r="J591" s="5"/>
      <c r="K591" s="5">
        <f>1+40*4/59</f>
        <v>3.7118644067796609</v>
      </c>
      <c r="L591" s="5">
        <f t="shared" si="29"/>
        <v>15.020824301891579</v>
      </c>
      <c r="M591" s="5">
        <f>L591-$B$483*$B$478*SQRT(1/$B$472+(K591-AVERAGE(Данные!$B$2:$B$75))^2/DEVSQ(Данные!$B$2:$B$75))</f>
        <v>14.11511008492433</v>
      </c>
      <c r="N591" s="5">
        <f>L591+$B$483*$B$478*SQRT(1/$B$472+(K591-AVERAGE(Данные!$B$2:$B$75))^2/DEVSQ(Данные!$B$2:$B$75))</f>
        <v>15.926538518858829</v>
      </c>
      <c r="O591" s="5"/>
      <c r="P591" s="5"/>
      <c r="Q591" s="5"/>
      <c r="S591">
        <f t="shared" si="30"/>
        <v>3.7118644067796609</v>
      </c>
      <c r="T591">
        <f t="shared" si="31"/>
        <v>14.11511008492433</v>
      </c>
    </row>
    <row r="592" spans="1:22" x14ac:dyDescent="0.25">
      <c r="A592" s="5">
        <v>1.75</v>
      </c>
      <c r="B592" s="5">
        <f>F555</f>
        <v>18.75</v>
      </c>
      <c r="C592" s="5"/>
      <c r="D592" s="5"/>
      <c r="E592" s="5"/>
      <c r="F592" s="5"/>
      <c r="G592" s="5"/>
      <c r="H592" s="5"/>
      <c r="I592" s="5"/>
      <c r="J592" s="5"/>
      <c r="K592" s="5">
        <f>1+41*4/59</f>
        <v>3.7796610169491527</v>
      </c>
      <c r="L592" s="5">
        <f t="shared" si="29"/>
        <v>14.934312782177486</v>
      </c>
      <c r="M592" s="5">
        <f>L592-$B$483*$B$478*SQRT(1/$B$472+(K592-AVERAGE(Данные!$B$2:$B$75))^2/DEVSQ(Данные!$B$2:$B$75))</f>
        <v>14.003994875341602</v>
      </c>
      <c r="N592" s="5">
        <f>L592+$B$483*$B$478*SQRT(1/$B$472+(K592-AVERAGE(Данные!$B$2:$B$75))^2/DEVSQ(Данные!$B$2:$B$75))</f>
        <v>15.864630689013369</v>
      </c>
      <c r="O592" s="5"/>
      <c r="P592" s="5"/>
      <c r="Q592" s="5"/>
      <c r="S592">
        <f t="shared" si="30"/>
        <v>3.7796610169491527</v>
      </c>
      <c r="T592">
        <f t="shared" si="31"/>
        <v>14.003994875341602</v>
      </c>
    </row>
    <row r="593" spans="1:20" x14ac:dyDescent="0.25">
      <c r="A593" s="5">
        <v>1.75</v>
      </c>
      <c r="B593" s="5">
        <f>F553</f>
        <v>14.75</v>
      </c>
      <c r="C593" s="5"/>
      <c r="D593" s="5"/>
      <c r="E593" s="5"/>
      <c r="F593" s="5"/>
      <c r="G593" s="5"/>
      <c r="H593" s="5"/>
      <c r="I593" s="5"/>
      <c r="J593" s="5"/>
      <c r="K593" s="5">
        <f>1+42*4/59</f>
        <v>3.847457627118644</v>
      </c>
      <c r="L593" s="5">
        <f t="shared" si="29"/>
        <v>14.847801262463388</v>
      </c>
      <c r="M593" s="5">
        <f>L593-$B$483*$B$478*SQRT(1/$B$472+(K593-AVERAGE(Данные!$B$2:$B$75))^2/DEVSQ(Данные!$B$2:$B$75))</f>
        <v>13.890889538257817</v>
      </c>
      <c r="N593" s="5">
        <f>L593+$B$483*$B$478*SQRT(1/$B$472+(K593-AVERAGE(Данные!$B$2:$B$75))^2/DEVSQ(Данные!$B$2:$B$75))</f>
        <v>15.80471298666896</v>
      </c>
      <c r="O593" s="5"/>
      <c r="P593" s="5"/>
      <c r="Q593" s="5"/>
      <c r="S593">
        <f t="shared" si="30"/>
        <v>3.847457627118644</v>
      </c>
      <c r="T593">
        <f t="shared" si="31"/>
        <v>13.890889538257817</v>
      </c>
    </row>
    <row r="594" spans="1:20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>
        <f>1+43*4/59</f>
        <v>3.9152542372881354</v>
      </c>
      <c r="L594" s="5">
        <f t="shared" si="29"/>
        <v>14.761289742749295</v>
      </c>
      <c r="M594" s="5">
        <f>L594-$B$483*$B$478*SQRT(1/$B$472+(K594-AVERAGE(Данные!$B$2:$B$75))^2/DEVSQ(Данные!$B$2:$B$75))</f>
        <v>13.775955198929614</v>
      </c>
      <c r="N594" s="5">
        <f>L594+$B$483*$B$478*SQRT(1/$B$472+(K594-AVERAGE(Данные!$B$2:$B$75))^2/DEVSQ(Данные!$B$2:$B$75))</f>
        <v>15.746624286568975</v>
      </c>
      <c r="O594" s="5"/>
      <c r="P594" s="5"/>
      <c r="Q594" s="5"/>
      <c r="S594">
        <f t="shared" si="30"/>
        <v>3.9152542372881354</v>
      </c>
      <c r="T594">
        <f t="shared" si="31"/>
        <v>13.775955198929614</v>
      </c>
    </row>
    <row r="595" spans="1:20" x14ac:dyDescent="0.25">
      <c r="A595" s="5">
        <v>1.75</v>
      </c>
      <c r="B595" s="5">
        <f>F554</f>
        <v>17</v>
      </c>
      <c r="C595" s="5"/>
      <c r="D595" s="5"/>
      <c r="E595" s="5"/>
      <c r="F595" s="5"/>
      <c r="G595" s="5"/>
      <c r="H595" s="5"/>
      <c r="I595" s="5"/>
      <c r="J595" s="5"/>
      <c r="K595" s="5">
        <f>1+44*4/59</f>
        <v>3.9830508474576272</v>
      </c>
      <c r="L595" s="5">
        <f t="shared" si="29"/>
        <v>14.674778223035197</v>
      </c>
      <c r="M595" s="5">
        <f>L595-$B$483*$B$478*SQRT(1/$B$472+(K595-AVERAGE(Данные!$B$2:$B$75))^2/DEVSQ(Данные!$B$2:$B$75))</f>
        <v>13.659345431686468</v>
      </c>
      <c r="N595" s="5">
        <f>L595+$B$483*$B$478*SQRT(1/$B$472+(K595-AVERAGE(Данные!$B$2:$B$75))^2/DEVSQ(Данные!$B$2:$B$75))</f>
        <v>15.690211014383927</v>
      </c>
      <c r="O595" s="5"/>
      <c r="P595" s="5"/>
      <c r="Q595" s="5"/>
      <c r="S595">
        <f t="shared" si="30"/>
        <v>3.9830508474576272</v>
      </c>
      <c r="T595">
        <f t="shared" si="31"/>
        <v>13.659345431686468</v>
      </c>
    </row>
    <row r="596" spans="1:20" x14ac:dyDescent="0.25">
      <c r="A596" s="5">
        <v>2.25</v>
      </c>
      <c r="B596" s="5">
        <f>F554</f>
        <v>17</v>
      </c>
      <c r="C596" s="5"/>
      <c r="D596" s="5"/>
      <c r="E596" s="5"/>
      <c r="F596" s="5"/>
      <c r="G596" s="5"/>
      <c r="H596" s="5"/>
      <c r="I596" s="5"/>
      <c r="J596" s="5"/>
      <c r="K596" s="5">
        <f>1+45*4/59</f>
        <v>4.0508474576271185</v>
      </c>
      <c r="L596" s="5">
        <f t="shared" si="29"/>
        <v>14.588266703321104</v>
      </c>
      <c r="M596" s="5">
        <f>L596-$B$483*$B$478*SQRT(1/$B$472+(K596-AVERAGE(Данные!$B$2:$B$75))^2/DEVSQ(Данные!$B$2:$B$75))</f>
        <v>13.541204709250129</v>
      </c>
      <c r="N596" s="5">
        <f>L596+$B$483*$B$478*SQRT(1/$B$472+(K596-AVERAGE(Данные!$B$2:$B$75))^2/DEVSQ(Данные!$B$2:$B$75))</f>
        <v>15.635328697392078</v>
      </c>
      <c r="O596" s="5"/>
      <c r="P596" s="5"/>
      <c r="Q596" s="5"/>
      <c r="S596">
        <f t="shared" si="30"/>
        <v>4.0508474576271185</v>
      </c>
      <c r="T596">
        <f t="shared" si="31"/>
        <v>13.541204709250129</v>
      </c>
    </row>
    <row r="597" spans="1:20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>
        <f>1+46*4/59</f>
        <v>4.1186440677966107</v>
      </c>
      <c r="L597" s="5">
        <f t="shared" si="29"/>
        <v>14.501755183607006</v>
      </c>
      <c r="M597" s="5">
        <f>L597-$B$483*$B$478*SQRT(1/$B$472+(K597-AVERAGE(Данные!$B$2:$B$75))^2/DEVSQ(Данные!$B$2:$B$75))</f>
        <v>13.421667520364259</v>
      </c>
      <c r="N597" s="5">
        <f>L597+$B$483*$B$478*SQRT(1/$B$472+(K597-AVERAGE(Данные!$B$2:$B$75))^2/DEVSQ(Данные!$B$2:$B$75))</f>
        <v>15.581842846849753</v>
      </c>
      <c r="O597" s="5"/>
      <c r="P597" s="5"/>
      <c r="Q597" s="5"/>
      <c r="S597">
        <f t="shared" si="30"/>
        <v>4.1186440677966107</v>
      </c>
      <c r="T597">
        <f t="shared" si="31"/>
        <v>13.421667520364259</v>
      </c>
    </row>
    <row r="598" spans="1:20" x14ac:dyDescent="0.25">
      <c r="A598" s="5">
        <v>1.87</v>
      </c>
      <c r="B598" s="5">
        <f>F559</f>
        <v>12</v>
      </c>
      <c r="C598" s="5"/>
      <c r="D598" s="5"/>
      <c r="E598" s="5"/>
      <c r="F598" s="5"/>
      <c r="G598" s="5"/>
      <c r="H598" s="5"/>
      <c r="I598" s="5"/>
      <c r="J598" s="5"/>
      <c r="K598" s="5">
        <f>1+47*4/59</f>
        <v>4.1864406779661021</v>
      </c>
      <c r="L598" s="5">
        <f t="shared" si="29"/>
        <v>14.415243663892912</v>
      </c>
      <c r="M598" s="5">
        <f>L598-$B$483*$B$478*SQRT(1/$B$472+(K598-AVERAGE(Данные!$B$2:$B$75))^2/DEVSQ(Данные!$B$2:$B$75))</f>
        <v>13.300858014160227</v>
      </c>
      <c r="N598" s="5">
        <f>L598+$B$483*$B$478*SQRT(1/$B$472+(K598-AVERAGE(Данные!$B$2:$B$75))^2/DEVSQ(Данные!$B$2:$B$75))</f>
        <v>15.529629313625598</v>
      </c>
      <c r="O598" s="5"/>
      <c r="P598" s="5"/>
      <c r="Q598" s="5"/>
      <c r="S598">
        <f t="shared" si="30"/>
        <v>4.1864406779661021</v>
      </c>
      <c r="T598">
        <f t="shared" si="31"/>
        <v>13.300858014160227</v>
      </c>
    </row>
    <row r="599" spans="1:20" x14ac:dyDescent="0.25">
      <c r="A599" s="5">
        <v>2.13</v>
      </c>
      <c r="B599" s="5">
        <f>F559</f>
        <v>12</v>
      </c>
      <c r="C599" s="5"/>
      <c r="D599" s="5"/>
      <c r="E599" s="5"/>
      <c r="F599" s="5"/>
      <c r="G599" s="5"/>
      <c r="H599" s="5"/>
      <c r="I599" s="5"/>
      <c r="J599" s="5"/>
      <c r="K599" s="5">
        <f>1+48*4/59</f>
        <v>4.2542372881355934</v>
      </c>
      <c r="L599" s="5">
        <f t="shared" si="29"/>
        <v>14.328732144178817</v>
      </c>
      <c r="M599" s="5">
        <f>L599-$B$483*$B$478*SQRT(1/$B$472+(K599-AVERAGE(Данные!$B$2:$B$75))^2/DEVSQ(Данные!$B$2:$B$75))</f>
        <v>13.178890038691813</v>
      </c>
      <c r="N599" s="5">
        <f>L599+$B$483*$B$478*SQRT(1/$B$472+(K599-AVERAGE(Данные!$B$2:$B$75))^2/DEVSQ(Данные!$B$2:$B$75))</f>
        <v>15.478574249665821</v>
      </c>
      <c r="O599" s="5"/>
      <c r="P599" s="5"/>
      <c r="Q599" s="5"/>
      <c r="S599">
        <f t="shared" si="30"/>
        <v>4.2542372881355934</v>
      </c>
      <c r="T599">
        <f t="shared" si="31"/>
        <v>13.178890038691813</v>
      </c>
    </row>
    <row r="600" spans="1:20" x14ac:dyDescent="0.25">
      <c r="A600" s="5">
        <v>2</v>
      </c>
      <c r="B600" s="5">
        <f>F559</f>
        <v>12</v>
      </c>
      <c r="C600" s="5"/>
      <c r="D600" s="5"/>
      <c r="E600" s="5"/>
      <c r="F600" s="5"/>
      <c r="G600" s="5"/>
      <c r="H600" s="5"/>
      <c r="I600" s="5"/>
      <c r="J600" s="5"/>
      <c r="K600" s="5">
        <f>1+49*4/59</f>
        <v>4.3220338983050848</v>
      </c>
      <c r="L600" s="5">
        <f t="shared" si="29"/>
        <v>14.242220624464721</v>
      </c>
      <c r="M600" s="5">
        <f>L600-$B$483*$B$478*SQRT(1/$B$472+(K600-AVERAGE(Данные!$B$2:$B$75))^2/DEVSQ(Данные!$B$2:$B$75))</f>
        <v>13.05586745868688</v>
      </c>
      <c r="N600" s="5">
        <f>L600+$B$483*$B$478*SQRT(1/$B$472+(K600-AVERAGE(Данные!$B$2:$B$75))^2/DEVSQ(Данные!$B$2:$B$75))</f>
        <v>15.428573790242563</v>
      </c>
      <c r="O600" s="5"/>
      <c r="P600" s="5"/>
      <c r="Q600" s="5"/>
      <c r="S600">
        <f t="shared" si="30"/>
        <v>4.3220338983050848</v>
      </c>
      <c r="T600">
        <f t="shared" si="31"/>
        <v>13.05586745868688</v>
      </c>
    </row>
    <row r="601" spans="1:20" x14ac:dyDescent="0.25">
      <c r="A601" s="5">
        <v>2</v>
      </c>
      <c r="B601" s="5">
        <f>F553</f>
        <v>14.75</v>
      </c>
      <c r="C601" s="5"/>
      <c r="D601" s="5"/>
      <c r="E601" s="5"/>
      <c r="F601" s="5"/>
      <c r="G601" s="5"/>
      <c r="H601" s="5"/>
      <c r="I601" s="5"/>
      <c r="J601" s="5"/>
      <c r="K601" s="5">
        <f>1+50*4/59</f>
        <v>4.3898305084745761</v>
      </c>
      <c r="L601" s="5">
        <f t="shared" si="29"/>
        <v>14.155709104750628</v>
      </c>
      <c r="M601" s="5">
        <f>L601-$B$483*$B$478*SQRT(1/$B$472+(K601-AVERAGE(Данные!$B$2:$B$75))^2/DEVSQ(Данные!$B$2:$B$75))</f>
        <v>12.931884658381335</v>
      </c>
      <c r="N601" s="5">
        <f>L601+$B$483*$B$478*SQRT(1/$B$472+(K601-AVERAGE(Данные!$B$2:$B$75))^2/DEVSQ(Данные!$B$2:$B$75))</f>
        <v>15.37953355111992</v>
      </c>
      <c r="O601" s="5"/>
      <c r="P601" s="5"/>
      <c r="Q601" s="5"/>
      <c r="S601">
        <f t="shared" si="30"/>
        <v>4.3898305084745761</v>
      </c>
      <c r="T601">
        <f t="shared" si="31"/>
        <v>12.931884658381335</v>
      </c>
    </row>
    <row r="602" spans="1:20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>
        <f>1+51*4/59</f>
        <v>4.4576271186440675</v>
      </c>
      <c r="L602" s="5">
        <f t="shared" si="29"/>
        <v>14.06919758503653</v>
      </c>
      <c r="M602" s="5">
        <f>L602-$B$483*$B$478*SQRT(1/$B$472+(K602-AVERAGE(Данные!$B$2:$B$75))^2/DEVSQ(Данные!$B$2:$B$75))</f>
        <v>12.807027155858767</v>
      </c>
      <c r="N602" s="5">
        <f>L602+$B$483*$B$478*SQRT(1/$B$472+(K602-AVERAGE(Данные!$B$2:$B$75))^2/DEVSQ(Данные!$B$2:$B$75))</f>
        <v>15.331368014214293</v>
      </c>
      <c r="O602" s="5"/>
      <c r="P602" s="5"/>
      <c r="Q602" s="5"/>
      <c r="S602">
        <f t="shared" si="30"/>
        <v>4.4576271186440675</v>
      </c>
      <c r="T602">
        <f t="shared" si="31"/>
        <v>12.807027155858767</v>
      </c>
    </row>
    <row r="603" spans="1:20" x14ac:dyDescent="0.25">
      <c r="A603" s="5">
        <v>2</v>
      </c>
      <c r="B603" s="5">
        <f>F555</f>
        <v>18.75</v>
      </c>
      <c r="C603" s="5"/>
      <c r="D603" s="5"/>
      <c r="E603" s="5"/>
      <c r="F603" s="5"/>
      <c r="G603" s="5"/>
      <c r="H603" s="5"/>
      <c r="I603" s="5"/>
      <c r="J603" s="5"/>
      <c r="K603" s="5">
        <f>1+52*4/59</f>
        <v>4.5254237288135588</v>
      </c>
      <c r="L603" s="5">
        <f t="shared" si="29"/>
        <v>13.982686065322437</v>
      </c>
      <c r="M603" s="5">
        <f>L603-$B$483*$B$478*SQRT(1/$B$472+(K603-AVERAGE(Данные!$B$2:$B$75))^2/DEVSQ(Данные!$B$2:$B$75))</f>
        <v>12.681372273714075</v>
      </c>
      <c r="N603" s="5">
        <f>L603+$B$483*$B$478*SQRT(1/$B$472+(K603-AVERAGE(Данные!$B$2:$B$75))^2/DEVSQ(Данные!$B$2:$B$75))</f>
        <v>15.283999856930798</v>
      </c>
      <c r="O603" s="5"/>
      <c r="P603" s="5"/>
      <c r="Q603" s="5"/>
      <c r="S603">
        <f t="shared" si="30"/>
        <v>4.5254237288135588</v>
      </c>
      <c r="T603">
        <f t="shared" si="31"/>
        <v>12.681372273714075</v>
      </c>
    </row>
    <row r="604" spans="1:20" x14ac:dyDescent="0.25">
      <c r="A604" s="5">
        <v>2</v>
      </c>
      <c r="B604" s="5">
        <f>F560</f>
        <v>24</v>
      </c>
      <c r="C604" s="5"/>
      <c r="D604" s="5"/>
      <c r="E604" s="5"/>
      <c r="F604" s="5"/>
      <c r="G604" s="5"/>
      <c r="H604" s="5"/>
      <c r="I604" s="5"/>
      <c r="J604" s="5"/>
      <c r="K604" s="5">
        <f>1+53*4/59</f>
        <v>4.593220338983051</v>
      </c>
      <c r="L604" s="5">
        <f t="shared" si="29"/>
        <v>13.896174545608339</v>
      </c>
      <c r="M604" s="5">
        <f>L604-$B$483*$B$478*SQRT(1/$B$472+(K604-AVERAGE(Данные!$B$2:$B$75))^2/DEVSQ(Данные!$B$2:$B$75))</f>
        <v>12.554989826283979</v>
      </c>
      <c r="N604" s="5">
        <f>L604+$B$483*$B$478*SQRT(1/$B$472+(K604-AVERAGE(Данные!$B$2:$B$75))^2/DEVSQ(Данные!$B$2:$B$75))</f>
        <v>15.237359264932699</v>
      </c>
      <c r="O604" s="5"/>
      <c r="P604" s="5"/>
      <c r="Q604" s="5"/>
      <c r="S604">
        <f t="shared" si="30"/>
        <v>4.593220338983051</v>
      </c>
      <c r="T604">
        <f t="shared" si="31"/>
        <v>12.554989826283979</v>
      </c>
    </row>
    <row r="605" spans="1:20" x14ac:dyDescent="0.25">
      <c r="A605" s="5">
        <v>1.87</v>
      </c>
      <c r="B605" s="5">
        <f>F560</f>
        <v>24</v>
      </c>
      <c r="C605" s="5"/>
      <c r="D605" s="5"/>
      <c r="E605" s="5"/>
      <c r="F605" s="5"/>
      <c r="G605" s="5"/>
      <c r="H605" s="5"/>
      <c r="I605" s="5"/>
      <c r="J605" s="5"/>
      <c r="K605" s="5">
        <f>1+54*4/59</f>
        <v>4.6610169491525424</v>
      </c>
      <c r="L605" s="5">
        <f t="shared" si="29"/>
        <v>13.809663025894245</v>
      </c>
      <c r="M605" s="5">
        <f>L605-$B$483*$B$478*SQRT(1/$B$472+(K605-AVERAGE(Данные!$B$2:$B$75))^2/DEVSQ(Данные!$B$2:$B$75))</f>
        <v>12.427942796018504</v>
      </c>
      <c r="N605" s="5">
        <f>L605+$B$483*$B$478*SQRT(1/$B$472+(K605-AVERAGE(Данные!$B$2:$B$75))^2/DEVSQ(Данные!$B$2:$B$75))</f>
        <v>15.191383255769987</v>
      </c>
      <c r="O605" s="5"/>
      <c r="P605" s="5"/>
      <c r="Q605" s="5"/>
      <c r="S605">
        <f t="shared" si="30"/>
        <v>4.6610169491525424</v>
      </c>
      <c r="T605">
        <f t="shared" si="31"/>
        <v>12.427942796018504</v>
      </c>
    </row>
    <row r="606" spans="1:20" x14ac:dyDescent="0.25">
      <c r="A606" s="5">
        <v>2.13</v>
      </c>
      <c r="B606" s="5">
        <f>F560</f>
        <v>24</v>
      </c>
      <c r="C606" s="5"/>
      <c r="D606" s="5"/>
      <c r="E606" s="5"/>
      <c r="F606" s="5"/>
      <c r="G606" s="5"/>
      <c r="H606" s="5"/>
      <c r="I606" s="5"/>
      <c r="J606" s="5"/>
      <c r="K606" s="5">
        <f>1+55*4/59</f>
        <v>4.7288135593220337</v>
      </c>
      <c r="L606" s="5">
        <f t="shared" si="29"/>
        <v>13.72315150618015</v>
      </c>
      <c r="M606" s="5">
        <f>L606-$B$483*$B$478*SQRT(1/$B$472+(K606-AVERAGE(Данные!$B$2:$B$75))^2/DEVSQ(Данные!$B$2:$B$75))</f>
        <v>12.300287981056867</v>
      </c>
      <c r="N606" s="5">
        <f>L606+$B$483*$B$478*SQRT(1/$B$472+(K606-AVERAGE(Данные!$B$2:$B$75))^2/DEVSQ(Данные!$B$2:$B$75))</f>
        <v>15.146015031303433</v>
      </c>
      <c r="O606" s="5"/>
      <c r="P606" s="5"/>
      <c r="Q606" s="5"/>
      <c r="S606">
        <f t="shared" si="30"/>
        <v>4.7288135593220337</v>
      </c>
      <c r="T606">
        <f t="shared" si="31"/>
        <v>12.300287981056867</v>
      </c>
    </row>
    <row r="607" spans="1:20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>
        <f>1+56*4/59</f>
        <v>4.796610169491526</v>
      </c>
      <c r="L607" s="5">
        <f t="shared" si="29"/>
        <v>13.636639986466054</v>
      </c>
      <c r="M607" s="5">
        <f>L607-$B$483*$B$478*SQRT(1/$B$472+(K607-AVERAGE(Данные!$B$2:$B$75))^2/DEVSQ(Данные!$B$2:$B$75))</f>
        <v>12.172076603138342</v>
      </c>
      <c r="N607" s="5">
        <f>L607+$B$483*$B$478*SQRT(1/$B$472+(K607-AVERAGE(Данные!$B$2:$B$75))^2/DEVSQ(Данные!$B$2:$B$75))</f>
        <v>15.101203369793767</v>
      </c>
      <c r="O607" s="5"/>
      <c r="P607" s="5"/>
      <c r="Q607" s="5"/>
      <c r="S607">
        <f t="shared" si="30"/>
        <v>4.796610169491526</v>
      </c>
      <c r="T607">
        <f t="shared" si="31"/>
        <v>12.172076603138342</v>
      </c>
    </row>
    <row r="608" spans="1:20" x14ac:dyDescent="0.25">
      <c r="A608" s="5">
        <v>2.75</v>
      </c>
      <c r="B608" s="5">
        <f>G553</f>
        <v>14</v>
      </c>
      <c r="C608" s="5"/>
      <c r="D608" s="5"/>
      <c r="E608" s="5"/>
      <c r="F608" s="5"/>
      <c r="G608" s="5"/>
      <c r="H608" s="5"/>
      <c r="I608" s="5"/>
      <c r="J608" s="5"/>
      <c r="K608" s="5">
        <f>1+57*4/59</f>
        <v>4.8644067796610173</v>
      </c>
      <c r="L608" s="5">
        <f t="shared" si="29"/>
        <v>13.550128466751957</v>
      </c>
      <c r="M608" s="5">
        <f>L608-$B$483*$B$478*SQRT(1/$B$472+(K608-AVERAGE(Данные!$B$2:$B$75))^2/DEVSQ(Данные!$B$2:$B$75))</f>
        <v>12.043354870081888</v>
      </c>
      <c r="N608" s="5">
        <f>L608+$B$483*$B$478*SQRT(1/$B$472+(K608-AVERAGE(Данные!$B$2:$B$75))^2/DEVSQ(Данные!$B$2:$B$75))</f>
        <v>15.056902063422026</v>
      </c>
      <c r="O608" s="5"/>
      <c r="P608" s="5"/>
      <c r="Q608" s="5"/>
      <c r="S608">
        <f t="shared" si="30"/>
        <v>4.8644067796610173</v>
      </c>
      <c r="T608">
        <f t="shared" si="31"/>
        <v>12.043354870081888</v>
      </c>
    </row>
    <row r="609" spans="1:20" x14ac:dyDescent="0.25">
      <c r="A609" s="5">
        <v>3.25</v>
      </c>
      <c r="B609" s="5">
        <f>G553</f>
        <v>14</v>
      </c>
      <c r="C609" s="5"/>
      <c r="D609" s="5"/>
      <c r="E609" s="5"/>
      <c r="F609" s="5"/>
      <c r="G609" s="5"/>
      <c r="H609" s="5"/>
      <c r="I609" s="5"/>
      <c r="J609" s="5"/>
      <c r="K609" s="5">
        <f>1+58*4/59</f>
        <v>4.9322033898305087</v>
      </c>
      <c r="L609" s="5">
        <f t="shared" si="29"/>
        <v>13.463616947037863</v>
      </c>
      <c r="M609" s="5">
        <f>L609-$B$483*$B$478*SQRT(1/$B$472+(K609-AVERAGE(Данные!$B$2:$B$75))^2/DEVSQ(Данные!$B$2:$B$75))</f>
        <v>11.914164490639322</v>
      </c>
      <c r="N609" s="5">
        <f>L609+$B$483*$B$478*SQRT(1/$B$472+(K609-AVERAGE(Данные!$B$2:$B$75))^2/DEVSQ(Данные!$B$2:$B$75))</f>
        <v>15.013069403436404</v>
      </c>
      <c r="O609" s="5"/>
      <c r="P609" s="5"/>
      <c r="Q609" s="5"/>
      <c r="S609">
        <f t="shared" si="30"/>
        <v>4.9322033898305087</v>
      </c>
      <c r="T609">
        <f t="shared" si="31"/>
        <v>11.914164490639322</v>
      </c>
    </row>
    <row r="610" spans="1:20" x14ac:dyDescent="0.25">
      <c r="A610" s="5">
        <v>3.25</v>
      </c>
      <c r="B610" s="5">
        <f>G555</f>
        <v>18</v>
      </c>
      <c r="C610" s="5"/>
      <c r="D610" s="5"/>
      <c r="E610" s="5"/>
      <c r="F610" s="5"/>
      <c r="G610" s="5"/>
      <c r="H610" s="5"/>
      <c r="I610" s="5"/>
      <c r="J610" s="5"/>
      <c r="K610" s="5">
        <f>1+59*4/59</f>
        <v>5</v>
      </c>
      <c r="L610" s="5">
        <f t="shared" si="29"/>
        <v>13.377105427323768</v>
      </c>
      <c r="M610" s="5">
        <f>L610-$B$483*$B$478*SQRT(1/$B$472+(K610-AVERAGE(Данные!$B$2:$B$75))^2/DEVSQ(Данные!$B$2:$B$75))</f>
        <v>11.784543141936926</v>
      </c>
      <c r="N610" s="5">
        <f>L610+$B$483*$B$478*SQRT(1/$B$472+(K610-AVERAGE(Данные!$B$2:$B$75))^2/DEVSQ(Данные!$B$2:$B$75))</f>
        <v>14.96966771271061</v>
      </c>
      <c r="O610" s="5"/>
      <c r="P610" s="5"/>
      <c r="Q610" s="5"/>
      <c r="S610">
        <f t="shared" si="30"/>
        <v>5</v>
      </c>
      <c r="T610">
        <f t="shared" si="31"/>
        <v>11.784543141936926</v>
      </c>
    </row>
    <row r="611" spans="1:20" x14ac:dyDescent="0.25">
      <c r="A611" s="5">
        <v>2.75</v>
      </c>
      <c r="B611" s="5">
        <f>G555</f>
        <v>18</v>
      </c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</row>
    <row r="612" spans="1:20" x14ac:dyDescent="0.25">
      <c r="A612" s="5">
        <v>2.75</v>
      </c>
      <c r="B612" s="5">
        <f>G553</f>
        <v>14</v>
      </c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S612">
        <f t="shared" ref="S612:S643" si="32">K551</f>
        <v>1</v>
      </c>
      <c r="T612">
        <f t="shared" ref="T612:T643" si="33">N551</f>
        <v>20.249357852429789</v>
      </c>
    </row>
    <row r="613" spans="1:20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S613">
        <f t="shared" si="32"/>
        <v>1.0677966101694916</v>
      </c>
      <c r="T613">
        <f t="shared" si="33"/>
        <v>20.118326717415801</v>
      </c>
    </row>
    <row r="614" spans="1:20" x14ac:dyDescent="0.25">
      <c r="A614" s="5">
        <v>2.75</v>
      </c>
      <c r="B614" s="5">
        <f>G554</f>
        <v>16</v>
      </c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S614">
        <f t="shared" si="32"/>
        <v>1.1355932203389831</v>
      </c>
      <c r="T614">
        <f t="shared" si="33"/>
        <v>19.987608674677922</v>
      </c>
    </row>
    <row r="615" spans="1:20" x14ac:dyDescent="0.25">
      <c r="A615" s="5">
        <v>3.25</v>
      </c>
      <c r="B615" s="5">
        <f>G554</f>
        <v>16</v>
      </c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 t="s">
        <v>69</v>
      </c>
      <c r="P615" s="5" t="s">
        <v>70</v>
      </c>
      <c r="Q615" s="5" t="s">
        <v>71</v>
      </c>
      <c r="S615">
        <f t="shared" si="32"/>
        <v>1.2033898305084745</v>
      </c>
      <c r="T615">
        <f t="shared" si="33"/>
        <v>19.85722911279996</v>
      </c>
    </row>
    <row r="616" spans="1:20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>
        <v>0</v>
      </c>
      <c r="P616" s="5">
        <v>10</v>
      </c>
      <c r="Q616" s="5">
        <v>5</v>
      </c>
      <c r="S616">
        <f t="shared" si="32"/>
        <v>1.271186440677966</v>
      </c>
      <c r="T616">
        <f t="shared" si="33"/>
        <v>19.727216013259866</v>
      </c>
    </row>
    <row r="617" spans="1:20" x14ac:dyDescent="0.25">
      <c r="A617" s="5">
        <v>2.87</v>
      </c>
      <c r="B617" s="5">
        <f>G559</f>
        <v>9</v>
      </c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>
        <f t="shared" ref="O617:O650" si="34">IF(TDIST(Q616,$B$480,2)&gt;0.05,Q616,O616)</f>
        <v>0</v>
      </c>
      <c r="P617" s="5">
        <f t="shared" ref="P617:P650" si="35">IF(TDIST(Q616,$B$480,2)&gt;0.05,P616,Q616)</f>
        <v>5</v>
      </c>
      <c r="Q617" s="5">
        <f t="shared" ref="Q617:Q650" si="36">(O617+P617)/2</f>
        <v>2.5</v>
      </c>
      <c r="S617">
        <f t="shared" si="32"/>
        <v>1.3389830508474576</v>
      </c>
      <c r="T617">
        <f t="shared" si="33"/>
        <v>19.597600253706112</v>
      </c>
    </row>
    <row r="618" spans="1:20" x14ac:dyDescent="0.25">
      <c r="A618" s="5">
        <v>3.13</v>
      </c>
      <c r="B618" s="5">
        <f>G559</f>
        <v>9</v>
      </c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>
        <f t="shared" si="34"/>
        <v>0</v>
      </c>
      <c r="P618" s="5">
        <f t="shared" si="35"/>
        <v>2.5</v>
      </c>
      <c r="Q618" s="5">
        <f t="shared" si="36"/>
        <v>1.25</v>
      </c>
      <c r="S618">
        <f t="shared" si="32"/>
        <v>1.4067796610169492</v>
      </c>
      <c r="T618">
        <f t="shared" si="33"/>
        <v>19.468415947600985</v>
      </c>
    </row>
    <row r="619" spans="1:20" x14ac:dyDescent="0.25">
      <c r="A619" s="5">
        <v>3</v>
      </c>
      <c r="B619" s="5">
        <f>G559</f>
        <v>9</v>
      </c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>
        <f t="shared" si="34"/>
        <v>1.25</v>
      </c>
      <c r="P619" s="5">
        <f t="shared" si="35"/>
        <v>2.5</v>
      </c>
      <c r="Q619" s="5">
        <f t="shared" si="36"/>
        <v>1.875</v>
      </c>
      <c r="S619">
        <f t="shared" si="32"/>
        <v>1.4745762711864407</v>
      </c>
      <c r="T619">
        <f t="shared" si="33"/>
        <v>19.339700823640648</v>
      </c>
    </row>
    <row r="620" spans="1:20" x14ac:dyDescent="0.25">
      <c r="A620" s="5">
        <v>3</v>
      </c>
      <c r="B620" s="5">
        <f>G553</f>
        <v>14</v>
      </c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>
        <f t="shared" si="34"/>
        <v>1.875</v>
      </c>
      <c r="P620" s="5">
        <f t="shared" si="35"/>
        <v>2.5</v>
      </c>
      <c r="Q620" s="5">
        <f t="shared" si="36"/>
        <v>2.1875</v>
      </c>
      <c r="S620">
        <f t="shared" si="32"/>
        <v>1.5423728813559321</v>
      </c>
      <c r="T620">
        <f t="shared" si="33"/>
        <v>19.211496648154096</v>
      </c>
    </row>
    <row r="621" spans="1:20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>
        <f t="shared" si="34"/>
        <v>1.875</v>
      </c>
      <c r="P621" s="5">
        <f t="shared" si="35"/>
        <v>2.1875</v>
      </c>
      <c r="Q621" s="5">
        <f t="shared" si="36"/>
        <v>2.03125</v>
      </c>
      <c r="S621">
        <f t="shared" si="32"/>
        <v>1.6101694915254239</v>
      </c>
      <c r="T621">
        <f t="shared" si="33"/>
        <v>19.083849693176354</v>
      </c>
    </row>
    <row r="622" spans="1:20" x14ac:dyDescent="0.25">
      <c r="A622" s="5">
        <v>3</v>
      </c>
      <c r="B622" s="5">
        <f>G555</f>
        <v>18</v>
      </c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>
        <f t="shared" si="34"/>
        <v>1.875</v>
      </c>
      <c r="P622" s="5">
        <f t="shared" si="35"/>
        <v>2.03125</v>
      </c>
      <c r="Q622" s="5">
        <f t="shared" si="36"/>
        <v>1.953125</v>
      </c>
      <c r="S622">
        <f t="shared" si="32"/>
        <v>1.6779661016949152</v>
      </c>
      <c r="T622">
        <f t="shared" si="33"/>
        <v>18.95681125194821</v>
      </c>
    </row>
    <row r="623" spans="1:20" x14ac:dyDescent="0.25">
      <c r="A623" s="5">
        <v>3</v>
      </c>
      <c r="B623" s="5">
        <f>G560</f>
        <v>24</v>
      </c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>
        <f t="shared" si="34"/>
        <v>1.953125</v>
      </c>
      <c r="P623" s="5">
        <f t="shared" si="35"/>
        <v>2.03125</v>
      </c>
      <c r="Q623" s="5">
        <f t="shared" si="36"/>
        <v>1.9921875</v>
      </c>
      <c r="S623">
        <f t="shared" si="32"/>
        <v>1.7457627118644068</v>
      </c>
      <c r="T623">
        <f t="shared" si="33"/>
        <v>18.830438202030958</v>
      </c>
    </row>
    <row r="624" spans="1:20" x14ac:dyDescent="0.25">
      <c r="A624" s="5">
        <v>2.87</v>
      </c>
      <c r="B624" s="5">
        <f>G560</f>
        <v>24</v>
      </c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>
        <f t="shared" si="34"/>
        <v>1.9921875</v>
      </c>
      <c r="P624" s="5">
        <f t="shared" si="35"/>
        <v>2.03125</v>
      </c>
      <c r="Q624" s="5">
        <f t="shared" si="36"/>
        <v>2.01171875</v>
      </c>
      <c r="S624">
        <f t="shared" si="32"/>
        <v>1.8135593220338984</v>
      </c>
      <c r="T624">
        <f t="shared" si="33"/>
        <v>18.704793613801339</v>
      </c>
    </row>
    <row r="625" spans="1:20" x14ac:dyDescent="0.25">
      <c r="A625" s="5">
        <v>3.13</v>
      </c>
      <c r="B625" s="5">
        <f>G560</f>
        <v>24</v>
      </c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>
        <f t="shared" si="34"/>
        <v>1.9921875</v>
      </c>
      <c r="P625" s="5">
        <f t="shared" si="35"/>
        <v>2.01171875</v>
      </c>
      <c r="Q625" s="5">
        <f t="shared" si="36"/>
        <v>2.001953125</v>
      </c>
      <c r="S625">
        <f t="shared" si="32"/>
        <v>1.8813559322033897</v>
      </c>
      <c r="T625">
        <f t="shared" si="33"/>
        <v>18.579947398502505</v>
      </c>
    </row>
    <row r="626" spans="1:20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>
        <f t="shared" si="34"/>
        <v>1.9921875</v>
      </c>
      <c r="P626" s="5">
        <f t="shared" si="35"/>
        <v>2.001953125</v>
      </c>
      <c r="Q626" s="5">
        <f t="shared" si="36"/>
        <v>1.9970703125</v>
      </c>
      <c r="S626">
        <f t="shared" si="32"/>
        <v>1.9491525423728815</v>
      </c>
      <c r="T626">
        <f t="shared" si="33"/>
        <v>18.455976984900254</v>
      </c>
    </row>
    <row r="627" spans="1:20" x14ac:dyDescent="0.25">
      <c r="A627" s="5">
        <v>3.75</v>
      </c>
      <c r="B627" s="5">
        <f>H553</f>
        <v>12</v>
      </c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>
        <f t="shared" si="34"/>
        <v>1.9921875</v>
      </c>
      <c r="P627" s="5">
        <f t="shared" si="35"/>
        <v>1.9970703125</v>
      </c>
      <c r="Q627" s="5">
        <f t="shared" si="36"/>
        <v>1.99462890625</v>
      </c>
      <c r="S627">
        <f t="shared" si="32"/>
        <v>2.0169491525423728</v>
      </c>
      <c r="T627">
        <f t="shared" si="33"/>
        <v>18.332968006496902</v>
      </c>
    </row>
    <row r="628" spans="1:20" x14ac:dyDescent="0.25">
      <c r="A628" s="5">
        <v>4.25</v>
      </c>
      <c r="B628" s="5">
        <f>H553</f>
        <v>12</v>
      </c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>
        <f t="shared" si="34"/>
        <v>1.9921875</v>
      </c>
      <c r="P628" s="5">
        <f t="shared" si="35"/>
        <v>1.99462890625</v>
      </c>
      <c r="Q628" s="5">
        <f t="shared" si="36"/>
        <v>1.993408203125</v>
      </c>
      <c r="S628">
        <f t="shared" si="32"/>
        <v>2.0847457627118642</v>
      </c>
      <c r="T628">
        <f t="shared" si="33"/>
        <v>18.211014971729988</v>
      </c>
    </row>
    <row r="629" spans="1:20" x14ac:dyDescent="0.25">
      <c r="A629" s="5">
        <v>4.25</v>
      </c>
      <c r="B629" s="5">
        <f>H555</f>
        <v>16</v>
      </c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>
        <f t="shared" si="34"/>
        <v>1.993408203125</v>
      </c>
      <c r="P629" s="5">
        <f t="shared" si="35"/>
        <v>1.99462890625</v>
      </c>
      <c r="Q629" s="5">
        <f t="shared" si="36"/>
        <v>1.9940185546875</v>
      </c>
      <c r="S629">
        <f t="shared" si="32"/>
        <v>2.152542372881356</v>
      </c>
      <c r="T629">
        <f t="shared" si="33"/>
        <v>18.090221877211171</v>
      </c>
    </row>
    <row r="630" spans="1:20" x14ac:dyDescent="0.25">
      <c r="A630" s="5">
        <v>3.75</v>
      </c>
      <c r="B630" s="5">
        <f>H555</f>
        <v>16</v>
      </c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>
        <f t="shared" si="34"/>
        <v>1.993408203125</v>
      </c>
      <c r="P630" s="5">
        <f t="shared" si="35"/>
        <v>1.9940185546875</v>
      </c>
      <c r="Q630" s="5">
        <f t="shared" si="36"/>
        <v>1.99371337890625</v>
      </c>
      <c r="S630">
        <f t="shared" si="32"/>
        <v>2.2203389830508478</v>
      </c>
      <c r="T630">
        <f t="shared" si="33"/>
        <v>17.97070270859394</v>
      </c>
    </row>
    <row r="631" spans="1:20" x14ac:dyDescent="0.25">
      <c r="A631" s="5">
        <v>3.75</v>
      </c>
      <c r="B631" s="5">
        <f>H553</f>
        <v>12</v>
      </c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>
        <f t="shared" si="34"/>
        <v>1.993408203125</v>
      </c>
      <c r="P631" s="5">
        <f t="shared" si="35"/>
        <v>1.99371337890625</v>
      </c>
      <c r="Q631" s="5">
        <f t="shared" si="36"/>
        <v>1.993560791015625</v>
      </c>
      <c r="S631">
        <f t="shared" si="32"/>
        <v>2.2881355932203391</v>
      </c>
      <c r="T631">
        <f t="shared" si="33"/>
        <v>17.852581755227281</v>
      </c>
    </row>
    <row r="632" spans="1:20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>
        <f t="shared" si="34"/>
        <v>1.993408203125</v>
      </c>
      <c r="P632" s="5">
        <f t="shared" si="35"/>
        <v>1.993560791015625</v>
      </c>
      <c r="Q632" s="5">
        <f t="shared" si="36"/>
        <v>1.9934844970703125</v>
      </c>
      <c r="S632">
        <f t="shared" si="32"/>
        <v>2.3559322033898304</v>
      </c>
      <c r="T632">
        <f t="shared" si="33"/>
        <v>17.73599364417521</v>
      </c>
    </row>
    <row r="633" spans="1:20" x14ac:dyDescent="0.25">
      <c r="A633" s="5">
        <v>3.75</v>
      </c>
      <c r="B633" s="5">
        <f>H554</f>
        <v>15</v>
      </c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>
        <f t="shared" si="34"/>
        <v>1.993408203125</v>
      </c>
      <c r="P633" s="5">
        <f t="shared" si="35"/>
        <v>1.9934844970703125</v>
      </c>
      <c r="Q633" s="5">
        <f t="shared" si="36"/>
        <v>1.9934463500976563</v>
      </c>
      <c r="S633">
        <f t="shared" si="32"/>
        <v>2.4237288135593218</v>
      </c>
      <c r="T633">
        <f t="shared" si="33"/>
        <v>17.621082978380933</v>
      </c>
    </row>
    <row r="634" spans="1:20" x14ac:dyDescent="0.25">
      <c r="A634" s="5">
        <v>4.25</v>
      </c>
      <c r="B634" s="5">
        <f>H554</f>
        <v>15</v>
      </c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>
        <f t="shared" si="34"/>
        <v>1.9934463500976563</v>
      </c>
      <c r="P634" s="5">
        <f t="shared" si="35"/>
        <v>1.9934844970703125</v>
      </c>
      <c r="Q634" s="5">
        <f t="shared" si="36"/>
        <v>1.9934654235839844</v>
      </c>
      <c r="S634">
        <f t="shared" si="32"/>
        <v>2.4915254237288136</v>
      </c>
      <c r="T634">
        <f t="shared" si="33"/>
        <v>17.508003446214811</v>
      </c>
    </row>
    <row r="635" spans="1:20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>
        <f t="shared" si="34"/>
        <v>1.9934463500976563</v>
      </c>
      <c r="P635" s="5">
        <f t="shared" si="35"/>
        <v>1.9934654235839844</v>
      </c>
      <c r="Q635" s="5">
        <f t="shared" si="36"/>
        <v>1.9934558868408203</v>
      </c>
      <c r="S635">
        <f t="shared" si="32"/>
        <v>2.5593220338983054</v>
      </c>
      <c r="T635">
        <f t="shared" si="33"/>
        <v>17.396916260801262</v>
      </c>
    </row>
    <row r="636" spans="1:20" x14ac:dyDescent="0.25">
      <c r="A636" s="5">
        <v>3.87</v>
      </c>
      <c r="B636" s="5">
        <f>H559</f>
        <v>8</v>
      </c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>
        <f t="shared" si="34"/>
        <v>1.9934558868408203</v>
      </c>
      <c r="P636" s="5">
        <f t="shared" si="35"/>
        <v>1.9934654235839844</v>
      </c>
      <c r="Q636" s="5">
        <f t="shared" si="36"/>
        <v>1.9934606552124023</v>
      </c>
      <c r="S636">
        <f t="shared" si="32"/>
        <v>2.6271186440677967</v>
      </c>
      <c r="T636">
        <f t="shared" si="33"/>
        <v>17.287987794787469</v>
      </c>
    </row>
    <row r="637" spans="1:20" x14ac:dyDescent="0.25">
      <c r="A637" s="5">
        <v>4.13</v>
      </c>
      <c r="B637" s="5">
        <f>H559</f>
        <v>8</v>
      </c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>
        <f t="shared" si="34"/>
        <v>1.9934606552124023</v>
      </c>
      <c r="P637" s="5">
        <f t="shared" si="35"/>
        <v>1.9934654235839844</v>
      </c>
      <c r="Q637" s="5">
        <f t="shared" si="36"/>
        <v>1.9934630393981934</v>
      </c>
      <c r="S637">
        <f t="shared" si="32"/>
        <v>2.6949152542372881</v>
      </c>
      <c r="T637">
        <f t="shared" si="33"/>
        <v>17.181386308298283</v>
      </c>
    </row>
    <row r="638" spans="1:20" x14ac:dyDescent="0.25">
      <c r="A638" s="5">
        <v>4</v>
      </c>
      <c r="B638" s="5">
        <f>H559</f>
        <v>8</v>
      </c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>
        <f t="shared" si="34"/>
        <v>1.9934630393981934</v>
      </c>
      <c r="P638" s="5">
        <f t="shared" si="35"/>
        <v>1.9934654235839844</v>
      </c>
      <c r="Q638" s="5">
        <f t="shared" si="36"/>
        <v>1.9934642314910889</v>
      </c>
      <c r="S638">
        <f t="shared" si="32"/>
        <v>2.7627118644067794</v>
      </c>
      <c r="T638">
        <f t="shared" si="33"/>
        <v>17.077277732828293</v>
      </c>
    </row>
    <row r="639" spans="1:20" x14ac:dyDescent="0.25">
      <c r="A639" s="5">
        <v>4</v>
      </c>
      <c r="B639" s="5">
        <f>H553</f>
        <v>12</v>
      </c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>
        <f t="shared" si="34"/>
        <v>1.9934630393981934</v>
      </c>
      <c r="P639" s="5">
        <f t="shared" si="35"/>
        <v>1.9934642314910889</v>
      </c>
      <c r="Q639" s="5">
        <f t="shared" si="36"/>
        <v>1.9934636354446411</v>
      </c>
      <c r="S639">
        <f t="shared" si="32"/>
        <v>2.8305084745762712</v>
      </c>
      <c r="T639">
        <f t="shared" si="33"/>
        <v>16.975820575991012</v>
      </c>
    </row>
    <row r="640" spans="1:20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>
        <f t="shared" si="34"/>
        <v>1.9934630393981934</v>
      </c>
      <c r="P640" s="5">
        <f t="shared" si="35"/>
        <v>1.9934636354446411</v>
      </c>
      <c r="Q640" s="5">
        <f t="shared" si="36"/>
        <v>1.9934633374214172</v>
      </c>
      <c r="S640">
        <f t="shared" si="32"/>
        <v>2.898305084745763</v>
      </c>
      <c r="T640">
        <f t="shared" si="33"/>
        <v>16.877160147401607</v>
      </c>
    </row>
    <row r="641" spans="1:20" x14ac:dyDescent="0.25">
      <c r="A641" s="5">
        <v>4</v>
      </c>
      <c r="B641" s="5">
        <f>H555</f>
        <v>16</v>
      </c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>
        <f t="shared" si="34"/>
        <v>1.9934633374214172</v>
      </c>
      <c r="P641" s="5">
        <f t="shared" si="35"/>
        <v>1.9934636354446411</v>
      </c>
      <c r="Q641" s="5">
        <f t="shared" si="36"/>
        <v>1.9934634864330292</v>
      </c>
      <c r="S641">
        <f t="shared" si="32"/>
        <v>2.9661016949152543</v>
      </c>
      <c r="T641">
        <f t="shared" si="33"/>
        <v>16.781422458343449</v>
      </c>
    </row>
    <row r="642" spans="1:20" x14ac:dyDescent="0.25">
      <c r="A642" s="5">
        <v>4</v>
      </c>
      <c r="B642" s="5">
        <f>H560</f>
        <v>19</v>
      </c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>
        <f t="shared" si="34"/>
        <v>1.9934634864330292</v>
      </c>
      <c r="P642" s="5">
        <f t="shared" si="35"/>
        <v>1.9934636354446411</v>
      </c>
      <c r="Q642" s="5">
        <f t="shared" si="36"/>
        <v>1.9934635609388351</v>
      </c>
      <c r="S642">
        <f t="shared" si="32"/>
        <v>3.0338983050847457</v>
      </c>
      <c r="T642">
        <f t="shared" si="33"/>
        <v>16.688708287706962</v>
      </c>
    </row>
    <row r="643" spans="1:20" x14ac:dyDescent="0.25">
      <c r="A643" s="5">
        <v>3.87</v>
      </c>
      <c r="B643" s="5">
        <f>H560</f>
        <v>19</v>
      </c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>
        <f t="shared" si="34"/>
        <v>1.9934635609388351</v>
      </c>
      <c r="P643" s="5">
        <f t="shared" si="35"/>
        <v>1.9934636354446411</v>
      </c>
      <c r="Q643" s="5">
        <f t="shared" si="36"/>
        <v>1.9934635981917381</v>
      </c>
      <c r="S643">
        <f t="shared" si="32"/>
        <v>3.1016949152542375</v>
      </c>
      <c r="T643">
        <f t="shared" si="33"/>
        <v>16.599087995347713</v>
      </c>
    </row>
    <row r="644" spans="1:20" x14ac:dyDescent="0.25">
      <c r="A644" s="5">
        <v>4.13</v>
      </c>
      <c r="B644" s="5">
        <f>H560</f>
        <v>19</v>
      </c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>
        <f t="shared" si="34"/>
        <v>1.9934635609388351</v>
      </c>
      <c r="P644" s="5">
        <f t="shared" si="35"/>
        <v>1.9934635981917381</v>
      </c>
      <c r="Q644" s="5">
        <f t="shared" si="36"/>
        <v>1.9934635795652866</v>
      </c>
      <c r="S644">
        <f t="shared" ref="S644:S675" si="37">K583</f>
        <v>3.1694915254237288</v>
      </c>
      <c r="T644">
        <f t="shared" ref="T644:T675" si="38">N583</f>
        <v>16.512597664574017</v>
      </c>
    </row>
    <row r="645" spans="1:20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>
        <f t="shared" si="34"/>
        <v>1.9934635609388351</v>
      </c>
      <c r="P645" s="5">
        <f t="shared" si="35"/>
        <v>1.9934635795652866</v>
      </c>
      <c r="Q645" s="5">
        <f t="shared" si="36"/>
        <v>1.9934635702520609</v>
      </c>
      <c r="S645">
        <f t="shared" si="37"/>
        <v>3.2372881355932202</v>
      </c>
      <c r="T645">
        <f t="shared" si="38"/>
        <v>16.429237047561106</v>
      </c>
    </row>
    <row r="646" spans="1:20" x14ac:dyDescent="0.25">
      <c r="A646" s="5">
        <v>4.75</v>
      </c>
      <c r="B646" s="5">
        <f>I553</f>
        <v>8.5</v>
      </c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>
        <f t="shared" si="34"/>
        <v>1.9934635609388351</v>
      </c>
      <c r="P646" s="5">
        <f t="shared" si="35"/>
        <v>1.9934635702520609</v>
      </c>
      <c r="Q646" s="5">
        <f t="shared" si="36"/>
        <v>1.993463565595448</v>
      </c>
      <c r="S646">
        <f t="shared" si="37"/>
        <v>3.3050847457627119</v>
      </c>
      <c r="T646">
        <f t="shared" si="38"/>
        <v>16.348969579639771</v>
      </c>
    </row>
    <row r="647" spans="1:20" x14ac:dyDescent="0.25">
      <c r="A647" s="5">
        <v>5.25</v>
      </c>
      <c r="B647" s="5">
        <f>I553</f>
        <v>8.5</v>
      </c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>
        <f t="shared" si="34"/>
        <v>1.993463565595448</v>
      </c>
      <c r="P647" s="5">
        <f t="shared" si="35"/>
        <v>1.9934635702520609</v>
      </c>
      <c r="Q647" s="5">
        <f t="shared" si="36"/>
        <v>1.9934635679237545</v>
      </c>
      <c r="S647">
        <f t="shared" si="37"/>
        <v>3.3728813559322033</v>
      </c>
      <c r="T647">
        <f t="shared" si="38"/>
        <v>16.271724460578074</v>
      </c>
    </row>
    <row r="648" spans="1:20" x14ac:dyDescent="0.25">
      <c r="A648" s="5">
        <v>5.25</v>
      </c>
      <c r="B648" s="5">
        <f>I555</f>
        <v>15.75</v>
      </c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>
        <f t="shared" si="34"/>
        <v>1.993463565595448</v>
      </c>
      <c r="P648" s="5">
        <f t="shared" si="35"/>
        <v>1.9934635679237545</v>
      </c>
      <c r="Q648" s="5">
        <f t="shared" si="36"/>
        <v>1.9934635667596012</v>
      </c>
      <c r="S648">
        <f t="shared" si="37"/>
        <v>3.4406779661016951</v>
      </c>
      <c r="T648">
        <f t="shared" si="38"/>
        <v>16.197400533579124</v>
      </c>
    </row>
    <row r="649" spans="1:20" x14ac:dyDescent="0.25">
      <c r="A649" s="5">
        <v>4.75</v>
      </c>
      <c r="B649" s="5">
        <f>I555</f>
        <v>15.75</v>
      </c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>
        <f t="shared" si="34"/>
        <v>1.993463565595448</v>
      </c>
      <c r="P649" s="5">
        <f t="shared" si="35"/>
        <v>1.9934635667596012</v>
      </c>
      <c r="Q649" s="5">
        <f t="shared" si="36"/>
        <v>1.9934635661775246</v>
      </c>
      <c r="S649">
        <f t="shared" si="37"/>
        <v>3.5084745762711864</v>
      </c>
      <c r="T649">
        <f t="shared" si="38"/>
        <v>16.125871486017047</v>
      </c>
    </row>
    <row r="650" spans="1:20" x14ac:dyDescent="0.25">
      <c r="A650" s="5">
        <v>4.75</v>
      </c>
      <c r="B650" s="5">
        <f>I553</f>
        <v>8.5</v>
      </c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>
        <f t="shared" si="34"/>
        <v>1.9934635661775246</v>
      </c>
      <c r="P650" s="5">
        <f t="shared" si="35"/>
        <v>1.9934635667596012</v>
      </c>
      <c r="Q650" s="5">
        <f t="shared" si="36"/>
        <v>1.9934635664685629</v>
      </c>
      <c r="S650">
        <f t="shared" si="37"/>
        <v>3.5762711864406778</v>
      </c>
      <c r="T650">
        <f t="shared" si="38"/>
        <v>16.056991789503169</v>
      </c>
    </row>
    <row r="651" spans="1:20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S651">
        <f t="shared" si="37"/>
        <v>3.6440677966101696</v>
      </c>
      <c r="T651">
        <f t="shared" si="38"/>
        <v>15.990602798817758</v>
      </c>
    </row>
    <row r="652" spans="1:20" x14ac:dyDescent="0.25">
      <c r="A652" s="5">
        <v>4.75</v>
      </c>
      <c r="B652" s="5">
        <f>I554</f>
        <v>14</v>
      </c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S652">
        <f t="shared" si="37"/>
        <v>3.7118644067796609</v>
      </c>
      <c r="T652">
        <f t="shared" si="38"/>
        <v>15.926538518858829</v>
      </c>
    </row>
    <row r="653" spans="1:20" x14ac:dyDescent="0.25">
      <c r="A653" s="5">
        <v>5.25</v>
      </c>
      <c r="B653" s="5">
        <f>I554</f>
        <v>14</v>
      </c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S653">
        <f t="shared" si="37"/>
        <v>3.7796610169491527</v>
      </c>
      <c r="T653">
        <f t="shared" si="38"/>
        <v>15.864630689013369</v>
      </c>
    </row>
    <row r="654" spans="1:20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S654">
        <f t="shared" si="37"/>
        <v>3.847457627118644</v>
      </c>
      <c r="T654">
        <f t="shared" si="38"/>
        <v>15.80471298666896</v>
      </c>
    </row>
    <row r="655" spans="1:20" x14ac:dyDescent="0.25">
      <c r="A655" s="5">
        <v>4.87</v>
      </c>
      <c r="B655" s="5">
        <f>I559</f>
        <v>6</v>
      </c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S655">
        <f t="shared" si="37"/>
        <v>3.9152542372881354</v>
      </c>
      <c r="T655">
        <f t="shared" si="38"/>
        <v>15.746624286568975</v>
      </c>
    </row>
    <row r="656" spans="1:20" x14ac:dyDescent="0.25">
      <c r="A656" s="5">
        <v>5.13</v>
      </c>
      <c r="B656" s="5">
        <f>I559</f>
        <v>6</v>
      </c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S656">
        <f t="shared" si="37"/>
        <v>3.9830508474576272</v>
      </c>
      <c r="T656">
        <f t="shared" si="38"/>
        <v>15.690211014383927</v>
      </c>
    </row>
    <row r="657" spans="1:20" x14ac:dyDescent="0.25">
      <c r="A657" s="5">
        <v>5</v>
      </c>
      <c r="B657" s="5">
        <f>I559</f>
        <v>6</v>
      </c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S657">
        <f t="shared" si="37"/>
        <v>4.0508474576271185</v>
      </c>
      <c r="T657">
        <f t="shared" si="38"/>
        <v>15.635328697392078</v>
      </c>
    </row>
    <row r="658" spans="1:20" x14ac:dyDescent="0.25">
      <c r="A658" s="5">
        <v>5</v>
      </c>
      <c r="B658" s="5">
        <f>I553</f>
        <v>8.5</v>
      </c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S658">
        <f t="shared" si="37"/>
        <v>4.1186440677966107</v>
      </c>
      <c r="T658">
        <f t="shared" si="38"/>
        <v>15.581842846849753</v>
      </c>
    </row>
    <row r="659" spans="1:20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S659">
        <f t="shared" si="37"/>
        <v>4.1864406779661021</v>
      </c>
      <c r="T659">
        <f t="shared" si="38"/>
        <v>15.529629313625598</v>
      </c>
    </row>
    <row r="660" spans="1:20" x14ac:dyDescent="0.25">
      <c r="A660" s="5">
        <v>5</v>
      </c>
      <c r="B660" s="5">
        <f>I555</f>
        <v>15.75</v>
      </c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S660">
        <f t="shared" si="37"/>
        <v>4.2542372881355934</v>
      </c>
      <c r="T660">
        <f t="shared" si="38"/>
        <v>15.478574249665821</v>
      </c>
    </row>
    <row r="661" spans="1:20" x14ac:dyDescent="0.25">
      <c r="A661" s="5">
        <v>5</v>
      </c>
      <c r="B661" s="5">
        <f>I560</f>
        <v>19</v>
      </c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S661">
        <f t="shared" si="37"/>
        <v>4.3220338983050848</v>
      </c>
      <c r="T661">
        <f t="shared" si="38"/>
        <v>15.428573790242563</v>
      </c>
    </row>
    <row r="662" spans="1:20" x14ac:dyDescent="0.25">
      <c r="A662" s="5">
        <v>4.87</v>
      </c>
      <c r="B662" s="5">
        <f>I560</f>
        <v>19</v>
      </c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S662">
        <f t="shared" si="37"/>
        <v>4.3898305084745761</v>
      </c>
      <c r="T662">
        <f t="shared" si="38"/>
        <v>15.37953355111992</v>
      </c>
    </row>
    <row r="663" spans="1:20" x14ac:dyDescent="0.25">
      <c r="A663" s="5">
        <v>5.13</v>
      </c>
      <c r="B663" s="5">
        <f>I560</f>
        <v>19</v>
      </c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S663">
        <f t="shared" si="37"/>
        <v>4.4576271186440675</v>
      </c>
      <c r="T663">
        <f t="shared" si="38"/>
        <v>15.331368014214293</v>
      </c>
    </row>
    <row r="664" spans="1:20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S664">
        <f t="shared" si="37"/>
        <v>4.5254237288135588</v>
      </c>
      <c r="T664">
        <f t="shared" si="38"/>
        <v>15.283999856930798</v>
      </c>
    </row>
    <row r="665" spans="1:20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S665">
        <f t="shared" si="37"/>
        <v>4.593220338983051</v>
      </c>
      <c r="T665">
        <f t="shared" si="38"/>
        <v>15.237359264932699</v>
      </c>
    </row>
    <row r="666" spans="1:20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S666">
        <f t="shared" si="37"/>
        <v>4.6610169491525424</v>
      </c>
      <c r="T666">
        <f t="shared" si="38"/>
        <v>15.191383255769987</v>
      </c>
    </row>
    <row r="667" spans="1:20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S667">
        <f t="shared" si="37"/>
        <v>4.7288135593220337</v>
      </c>
      <c r="T667">
        <f t="shared" si="38"/>
        <v>15.146015031303433</v>
      </c>
    </row>
    <row r="668" spans="1:20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S668">
        <f t="shared" si="37"/>
        <v>4.796610169491526</v>
      </c>
      <c r="T668">
        <f t="shared" si="38"/>
        <v>15.101203369793767</v>
      </c>
    </row>
    <row r="669" spans="1:20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S669">
        <f t="shared" si="37"/>
        <v>4.8644067796610173</v>
      </c>
      <c r="T669">
        <f t="shared" si="38"/>
        <v>15.056902063422026</v>
      </c>
    </row>
    <row r="670" spans="1:20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S670">
        <f t="shared" si="37"/>
        <v>4.9322033898305087</v>
      </c>
      <c r="T670">
        <f t="shared" si="38"/>
        <v>15.013069403436404</v>
      </c>
    </row>
    <row r="671" spans="1:20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S671">
        <f t="shared" si="37"/>
        <v>5</v>
      </c>
      <c r="T671">
        <f t="shared" si="38"/>
        <v>14.96966771271061</v>
      </c>
    </row>
    <row r="672" spans="1:20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</row>
    <row r="673" spans="1:17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</row>
    <row r="674" spans="1:17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</row>
    <row r="675" spans="1:17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</row>
    <row r="676" spans="1:17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</row>
    <row r="677" spans="1:17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</row>
    <row r="678" spans="1:17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</row>
    <row r="679" spans="1:17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</row>
    <row r="680" spans="1:17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</row>
    <row r="681" spans="1:17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</row>
    <row r="682" spans="1:17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</row>
    <row r="683" spans="1:17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</row>
    <row r="684" spans="1:17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</row>
    <row r="685" spans="1:17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</row>
    <row r="686" spans="1:17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</row>
    <row r="687" spans="1:17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</row>
    <row r="688" spans="1:17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</row>
    <row r="689" spans="1:19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</row>
    <row r="690" spans="1:19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</row>
    <row r="691" spans="1:19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</row>
    <row r="692" spans="1:19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</row>
    <row r="693" spans="1:19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</row>
    <row r="694" spans="1:19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</row>
    <row r="695" spans="1:19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</row>
    <row r="696" spans="1:19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</row>
    <row r="697" spans="1:19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</row>
    <row r="698" spans="1:19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</row>
    <row r="699" spans="1:19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</row>
    <row r="700" spans="1:19" x14ac:dyDescent="0.25">
      <c r="A700" s="6" t="s">
        <v>5</v>
      </c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5"/>
      <c r="R700" t="s">
        <v>72</v>
      </c>
      <c r="S700" s="12">
        <v>0.08</v>
      </c>
    </row>
    <row r="701" spans="1:19" x14ac:dyDescent="0.25">
      <c r="A701" s="5"/>
      <c r="B701" s="5"/>
      <c r="C701" s="5"/>
      <c r="D701" s="5"/>
      <c r="E701" s="5">
        <v>1</v>
      </c>
      <c r="F701" s="5">
        <v>2</v>
      </c>
      <c r="G701" s="5">
        <v>3</v>
      </c>
      <c r="H701" s="5">
        <v>4</v>
      </c>
      <c r="I701" s="5">
        <v>5</v>
      </c>
      <c r="J701" s="5"/>
      <c r="K701" s="5" t="s">
        <v>35</v>
      </c>
      <c r="L701" s="5" t="s">
        <v>36</v>
      </c>
      <c r="M701" s="5"/>
      <c r="N701" s="5"/>
      <c r="O701" s="5" t="s">
        <v>37</v>
      </c>
      <c r="P701" s="5" t="s">
        <v>38</v>
      </c>
      <c r="Q701" s="5"/>
      <c r="S701" s="13" t="s">
        <v>73</v>
      </c>
    </row>
    <row r="702" spans="1:19" x14ac:dyDescent="0.25">
      <c r="A702" s="5" t="s">
        <v>39</v>
      </c>
      <c r="B702" s="7">
        <f>COUNT(Данные!$F$2:$F$75)</f>
        <v>74</v>
      </c>
      <c r="C702" s="5"/>
      <c r="D702" s="5"/>
      <c r="E702" s="5">
        <f>Данные!F2</f>
        <v>7</v>
      </c>
      <c r="F702" s="5">
        <f>Данные!F3</f>
        <v>5</v>
      </c>
      <c r="G702" s="5">
        <f>Данные!F22</f>
        <v>6</v>
      </c>
      <c r="H702" s="5">
        <f>Данные!F21</f>
        <v>5</v>
      </c>
      <c r="I702" s="5">
        <f>Данные!F61</f>
        <v>2</v>
      </c>
      <c r="J702" s="5"/>
      <c r="K702" s="5">
        <f>_xlfn.RANK.AVG(Данные!B2,Данные!$B$2:$B$75,1)</f>
        <v>4</v>
      </c>
      <c r="L702" s="5">
        <f>_xlfn.RANK.AVG(Данные!F2,Данные!$F$2:$F$75,1)</f>
        <v>58</v>
      </c>
      <c r="M702" s="5"/>
      <c r="N702" s="5"/>
      <c r="O702" s="5">
        <f>Данные!B2+(-0.105)</f>
        <v>0.89500000000000002</v>
      </c>
      <c r="P702" s="5">
        <f>Данные!F2</f>
        <v>7</v>
      </c>
      <c r="Q702" s="5"/>
      <c r="S702">
        <f>Данные!$B2+(COUNTIFS(Данные!$B$2:$B2,Данные!$B2,Данные!F$2:F2,Данные!F2)-(COUNTIFS(Данные!$B$2:$B$75,Данные!$B2,Данные!F$2:F$75,Данные!F2)+1)/2)*$S$700</f>
        <v>0.92</v>
      </c>
    </row>
    <row r="703" spans="1:19" x14ac:dyDescent="0.25">
      <c r="A703" s="5" t="s">
        <v>40</v>
      </c>
      <c r="B703" s="8">
        <f>CORREL(K702:K775,L702:L775)</f>
        <v>-0.25340473728256596</v>
      </c>
      <c r="C703" s="5"/>
      <c r="D703" s="5"/>
      <c r="E703" s="5">
        <f>Данные!F6</f>
        <v>3</v>
      </c>
      <c r="F703" s="5">
        <f>Данные!F4</f>
        <v>3</v>
      </c>
      <c r="G703" s="5">
        <f>Данные!F23</f>
        <v>5</v>
      </c>
      <c r="H703" s="5">
        <f>Данные!F31</f>
        <v>6</v>
      </c>
      <c r="I703" s="5">
        <f>Данные!F67</f>
        <v>3</v>
      </c>
      <c r="J703" s="5"/>
      <c r="K703" s="5">
        <f>_xlfn.RANK.AVG(Данные!B3,Данные!$B$2:$B$75,1)</f>
        <v>13.5</v>
      </c>
      <c r="L703" s="5">
        <f>_xlfn.RANK.AVG(Данные!F3,Данные!$F$2:$F$75,1)</f>
        <v>25</v>
      </c>
      <c r="M703" s="5"/>
      <c r="N703" s="5"/>
      <c r="O703" s="5">
        <f>Данные!B3+(-0.105)</f>
        <v>1.895</v>
      </c>
      <c r="P703" s="5">
        <f>Данные!F3</f>
        <v>5</v>
      </c>
      <c r="Q703" s="5"/>
      <c r="S703">
        <f>Данные!$B3+(COUNTIFS(Данные!$B$2:$B3,Данные!$B3,Данные!F$2:F3,Данные!F3)-(COUNTIFS(Данные!$B$2:$B$75,Данные!$B3,Данные!F$2:F$75,Данные!F3)+1)/2)*$S$700</f>
        <v>1.96</v>
      </c>
    </row>
    <row r="704" spans="1:19" x14ac:dyDescent="0.25">
      <c r="A704" s="5" t="s">
        <v>41</v>
      </c>
      <c r="B704" s="8">
        <f>TDIST(ABS(B703*SQRT((B702-2)/(1-B703^2))),B702-2,2)</f>
        <v>2.9372600467383127E-2</v>
      </c>
      <c r="C704" s="5"/>
      <c r="D704" s="5"/>
      <c r="E704" s="5">
        <f>Данные!F7</f>
        <v>6</v>
      </c>
      <c r="F704" s="5">
        <f>Данные!F5</f>
        <v>6</v>
      </c>
      <c r="G704" s="5">
        <f>Данные!F24</f>
        <v>6</v>
      </c>
      <c r="H704" s="5">
        <f>Данные!F36</f>
        <v>7</v>
      </c>
      <c r="I704" s="5">
        <f>Данные!F68</f>
        <v>7</v>
      </c>
      <c r="J704" s="5"/>
      <c r="K704" s="5">
        <f>_xlfn.RANK.AVG(Данные!B4,Данные!$B$2:$B$75,1)</f>
        <v>13.5</v>
      </c>
      <c r="L704" s="5">
        <f>_xlfn.RANK.AVG(Данные!F4,Данные!$F$2:$F$75,1)</f>
        <v>8.5</v>
      </c>
      <c r="M704" s="5"/>
      <c r="N704" s="5"/>
      <c r="O704" s="5">
        <f>Данные!B4+(-0.105)</f>
        <v>1.895</v>
      </c>
      <c r="P704" s="5">
        <f>Данные!F4</f>
        <v>3</v>
      </c>
      <c r="Q704" s="5"/>
      <c r="S704">
        <f>Данные!$B4+(COUNTIFS(Данные!$B$2:$B4,Данные!$B4,Данные!F$2:F4,Данные!F4)-(COUNTIFS(Данные!$B$2:$B$75,Данные!$B4,Данные!F$2:F$75,Данные!F4)+1)/2)*$S$700</f>
        <v>1.96</v>
      </c>
    </row>
    <row r="705" spans="1:19" x14ac:dyDescent="0.25">
      <c r="A705" s="5" t="s">
        <v>42</v>
      </c>
      <c r="B705" s="8">
        <f>INTERCEPT(Данные!$F$2:$F$75,Данные!$B$2:$B$75)</f>
        <v>6.6781035558328137</v>
      </c>
      <c r="C705" s="5"/>
      <c r="D705" s="5"/>
      <c r="E705" s="5">
        <f>Данные!F8</f>
        <v>7</v>
      </c>
      <c r="F705" s="5">
        <f>Данные!F9</f>
        <v>3</v>
      </c>
      <c r="G705" s="5">
        <f>Данные!F25</f>
        <v>8</v>
      </c>
      <c r="H705" s="5">
        <f>Данные!F39</f>
        <v>2</v>
      </c>
      <c r="I705" s="5">
        <f>Данные!F71</f>
        <v>6</v>
      </c>
      <c r="J705" s="5"/>
      <c r="K705" s="5">
        <f>_xlfn.RANK.AVG(Данные!B5,Данные!$B$2:$B$75,1)</f>
        <v>13.5</v>
      </c>
      <c r="L705" s="5">
        <f>_xlfn.RANK.AVG(Данные!F5,Данные!$F$2:$F$75,1)</f>
        <v>43.5</v>
      </c>
      <c r="M705" s="5"/>
      <c r="N705" s="5"/>
      <c r="O705" s="5">
        <f>Данные!B5+(-0.105)</f>
        <v>1.895</v>
      </c>
      <c r="P705" s="5">
        <f>Данные!F5</f>
        <v>6</v>
      </c>
      <c r="Q705" s="5"/>
      <c r="S705">
        <f>Данные!$B5+(COUNTIFS(Данные!$B$2:$B5,Данные!$B5,Данные!F$2:F5,Данные!F5)-(COUNTIFS(Данные!$B$2:$B$75,Данные!$B5,Данные!F$2:F$75,Данные!F5)+1)/2)*$S$700</f>
        <v>1.92</v>
      </c>
    </row>
    <row r="706" spans="1:19" x14ac:dyDescent="0.25">
      <c r="A706" s="5" t="s">
        <v>43</v>
      </c>
      <c r="B706" s="8">
        <f>SLOPE(Данные!$F$2:$F$75,Данные!$B$2:$B$75)</f>
        <v>-0.34560199625701821</v>
      </c>
      <c r="C706" s="5"/>
      <c r="D706" s="5"/>
      <c r="E706" s="5">
        <f>Данные!F11</f>
        <v>8</v>
      </c>
      <c r="F706" s="5">
        <f>Данные!F10</f>
        <v>6</v>
      </c>
      <c r="G706" s="5">
        <f>Данные!F26</f>
        <v>2</v>
      </c>
      <c r="H706" s="5">
        <f>Данные!F41</f>
        <v>6</v>
      </c>
      <c r="I706" s="5">
        <f>Данные!F72</f>
        <v>5</v>
      </c>
      <c r="J706" s="5"/>
      <c r="K706" s="5">
        <f>_xlfn.RANK.AVG(Данные!B6,Данные!$B$2:$B$75,1)</f>
        <v>4</v>
      </c>
      <c r="L706" s="5">
        <f>_xlfn.RANK.AVG(Данные!F6,Данные!$F$2:$F$75,1)</f>
        <v>8.5</v>
      </c>
      <c r="M706" s="5"/>
      <c r="N706" s="5"/>
      <c r="O706" s="5">
        <f>Данные!B6+(-0.105)</f>
        <v>0.89500000000000002</v>
      </c>
      <c r="P706" s="5">
        <f>Данные!F6</f>
        <v>3</v>
      </c>
      <c r="Q706" s="5"/>
      <c r="S706">
        <f>Данные!$B6+(COUNTIFS(Данные!$B$2:$B6,Данные!$B6,Данные!F$2:F6,Данные!F6)-(COUNTIFS(Данные!$B$2:$B$75,Данные!$B6,Данные!F$2:F$75,Данные!F6)+1)/2)*$S$700</f>
        <v>1</v>
      </c>
    </row>
    <row r="707" spans="1:19" x14ac:dyDescent="0.25">
      <c r="A707" s="5" t="s">
        <v>44</v>
      </c>
      <c r="B707" s="8">
        <f>RSQ(Данные!$F$2:$F$75,Данные!$B$2:$B$75)</f>
        <v>4.7077331184260614E-2</v>
      </c>
      <c r="C707" s="5"/>
      <c r="D707" s="5"/>
      <c r="E707" s="5">
        <f>Данные!F13</f>
        <v>7</v>
      </c>
      <c r="F707" s="5">
        <f>Данные!F12</f>
        <v>7</v>
      </c>
      <c r="G707" s="5">
        <f>Данные!F27</f>
        <v>6</v>
      </c>
      <c r="H707" s="5">
        <f>Данные!F43</f>
        <v>3</v>
      </c>
      <c r="I707" s="5">
        <f>Данные!F73</f>
        <v>5</v>
      </c>
      <c r="J707" s="5"/>
      <c r="K707" s="5">
        <f>_xlfn.RANK.AVG(Данные!B7,Данные!$B$2:$B$75,1)</f>
        <v>4</v>
      </c>
      <c r="L707" s="5">
        <f>_xlfn.RANK.AVG(Данные!F7,Данные!$F$2:$F$75,1)</f>
        <v>43.5</v>
      </c>
      <c r="M707" s="5"/>
      <c r="N707" s="5"/>
      <c r="O707" s="5">
        <f>Данные!B7+(-0.105)</f>
        <v>0.89500000000000002</v>
      </c>
      <c r="P707" s="5">
        <f>Данные!F7</f>
        <v>6</v>
      </c>
      <c r="Q707" s="5"/>
      <c r="S707">
        <f>Данные!$B7+(COUNTIFS(Данные!$B$2:$B7,Данные!$B7,Данные!F$2:F7,Данные!F7)-(COUNTIFS(Данные!$B$2:$B$75,Данные!$B7,Данные!F$2:F$75,Данные!F7)+1)/2)*$S$700</f>
        <v>0.96</v>
      </c>
    </row>
    <row r="708" spans="1:19" x14ac:dyDescent="0.25">
      <c r="A708" s="5" t="s">
        <v>45</v>
      </c>
      <c r="B708" s="8">
        <f>STEYX(Данные!$F$2:$F$75,Данные!$B$2:$B$75)</f>
        <v>1.7057438062287371</v>
      </c>
      <c r="C708" s="5"/>
      <c r="D708" s="5"/>
      <c r="E708" s="5">
        <f>Данные!F14</f>
        <v>6</v>
      </c>
      <c r="F708" s="5">
        <f>Данные!F15</f>
        <v>5</v>
      </c>
      <c r="G708" s="5">
        <f>Данные!F28</f>
        <v>5</v>
      </c>
      <c r="H708" s="5">
        <f>Данные!F46</f>
        <v>6</v>
      </c>
      <c r="I708" s="5"/>
      <c r="J708" s="5"/>
      <c r="K708" s="5">
        <f>_xlfn.RANK.AVG(Данные!B8,Данные!$B$2:$B$75,1)</f>
        <v>4</v>
      </c>
      <c r="L708" s="5">
        <f>_xlfn.RANK.AVG(Данные!F8,Данные!$F$2:$F$75,1)</f>
        <v>58</v>
      </c>
      <c r="M708" s="5"/>
      <c r="N708" s="5"/>
      <c r="O708" s="5">
        <f>Данные!B8+(-0.07)</f>
        <v>0.92999999999999994</v>
      </c>
      <c r="P708" s="5">
        <f>Данные!F8</f>
        <v>7</v>
      </c>
      <c r="Q708" s="5"/>
      <c r="S708">
        <f>Данные!$B8+(COUNTIFS(Данные!$B$2:$B8,Данные!$B8,Данные!F$2:F8,Данные!F8)-(COUNTIFS(Данные!$B$2:$B$75,Данные!$B8,Данные!F$2:F$75,Данные!F8)+1)/2)*$S$700</f>
        <v>1</v>
      </c>
    </row>
    <row r="709" spans="1:19" x14ac:dyDescent="0.25">
      <c r="A709" s="5" t="s">
        <v>46</v>
      </c>
      <c r="B709" s="8">
        <f>B708/SQRT(DEVSQ(Данные!$B$2:$B$75))</f>
        <v>0.18324532600198448</v>
      </c>
      <c r="C709" s="5"/>
      <c r="D709" s="5"/>
      <c r="E709" s="5"/>
      <c r="F709" s="5">
        <f>Данные!F16</f>
        <v>7</v>
      </c>
      <c r="G709" s="5">
        <f>Данные!F29</f>
        <v>7</v>
      </c>
      <c r="H709" s="5">
        <f>Данные!F48</f>
        <v>8</v>
      </c>
      <c r="I709" s="5"/>
      <c r="J709" s="5"/>
      <c r="K709" s="5">
        <f>_xlfn.RANK.AVG(Данные!B9,Данные!$B$2:$B$75,1)</f>
        <v>13.5</v>
      </c>
      <c r="L709" s="5">
        <f>_xlfn.RANK.AVG(Данные!F9,Данные!$F$2:$F$75,1)</f>
        <v>8.5</v>
      </c>
      <c r="M709" s="5"/>
      <c r="N709" s="5"/>
      <c r="O709" s="5">
        <f>Данные!B9+(-0.07)</f>
        <v>1.93</v>
      </c>
      <c r="P709" s="5">
        <f>Данные!F9</f>
        <v>3</v>
      </c>
      <c r="Q709" s="5"/>
      <c r="S709">
        <f>Данные!$B9+(COUNTIFS(Данные!$B$2:$B9,Данные!$B9,Данные!F$2:F9,Данные!F9)-(COUNTIFS(Данные!$B$2:$B$75,Данные!$B9,Данные!F$2:F$75,Данные!F9)+1)/2)*$S$700</f>
        <v>2.04</v>
      </c>
    </row>
    <row r="710" spans="1:19" x14ac:dyDescent="0.25">
      <c r="A710" s="5" t="s">
        <v>47</v>
      </c>
      <c r="B710" s="8">
        <f>B702-2</f>
        <v>72</v>
      </c>
      <c r="C710" s="5"/>
      <c r="D710" s="5"/>
      <c r="E710" s="5"/>
      <c r="F710" s="5">
        <f>Данные!F17</f>
        <v>8</v>
      </c>
      <c r="G710" s="5">
        <f>Данные!F30</f>
        <v>9</v>
      </c>
      <c r="H710" s="5">
        <f>Данные!F53</f>
        <v>3</v>
      </c>
      <c r="I710" s="5"/>
      <c r="J710" s="5"/>
      <c r="K710" s="5">
        <f>_xlfn.RANK.AVG(Данные!B10,Данные!$B$2:$B$75,1)</f>
        <v>13.5</v>
      </c>
      <c r="L710" s="5">
        <f>_xlfn.RANK.AVG(Данные!F10,Данные!$F$2:$F$75,1)</f>
        <v>43.5</v>
      </c>
      <c r="M710" s="5"/>
      <c r="N710" s="5"/>
      <c r="O710" s="5">
        <f>Данные!B10+(-0.07)</f>
        <v>1.93</v>
      </c>
      <c r="P710" s="5">
        <f>Данные!F10</f>
        <v>6</v>
      </c>
      <c r="Q710" s="5"/>
      <c r="S710">
        <f>Данные!$B10+(COUNTIFS(Данные!$B$2:$B10,Данные!$B10,Данные!F$2:F10,Данные!F10)-(COUNTIFS(Данные!$B$2:$B$75,Данные!$B10,Данные!F$2:F$75,Данные!F10)+1)/2)*$S$700</f>
        <v>2</v>
      </c>
    </row>
    <row r="711" spans="1:19" x14ac:dyDescent="0.25">
      <c r="A711" s="5" t="s">
        <v>48</v>
      </c>
      <c r="B711" s="8">
        <f>B706/B709</f>
        <v>-1.8860071566206029</v>
      </c>
      <c r="C711" s="5"/>
      <c r="D711" s="5"/>
      <c r="E711" s="5"/>
      <c r="F711" s="5">
        <f>Данные!F18</f>
        <v>6</v>
      </c>
      <c r="G711" s="5">
        <f>Данные!F32</f>
        <v>7</v>
      </c>
      <c r="H711" s="5">
        <f>Данные!F55</f>
        <v>5</v>
      </c>
      <c r="I711" s="5"/>
      <c r="J711" s="5"/>
      <c r="K711" s="5">
        <f>_xlfn.RANK.AVG(Данные!B11,Данные!$B$2:$B$75,1)</f>
        <v>4</v>
      </c>
      <c r="L711" s="5">
        <f>_xlfn.RANK.AVG(Данные!F11,Данные!$F$2:$F$75,1)</f>
        <v>68</v>
      </c>
      <c r="M711" s="5"/>
      <c r="N711" s="5"/>
      <c r="O711" s="5">
        <f>Данные!B11+(-0.105)</f>
        <v>0.89500000000000002</v>
      </c>
      <c r="P711" s="5">
        <f>Данные!F11</f>
        <v>8</v>
      </c>
      <c r="Q711" s="5"/>
      <c r="S711">
        <f>Данные!$B11+(COUNTIFS(Данные!$B$2:$B11,Данные!$B11,Данные!F$2:F11,Данные!F11)-(COUNTIFS(Данные!$B$2:$B$75,Данные!$B11,Данные!F$2:F$75,Данные!F11)+1)/2)*$S$700</f>
        <v>1</v>
      </c>
    </row>
    <row r="712" spans="1:19" x14ac:dyDescent="0.25">
      <c r="A712" s="5" t="s">
        <v>49</v>
      </c>
      <c r="B712" s="8">
        <f>TDIST(ABS(B711),B710,2)</f>
        <v>6.332758591334553E-2</v>
      </c>
      <c r="C712" s="5"/>
      <c r="D712" s="5"/>
      <c r="E712" s="5"/>
      <c r="F712" s="5">
        <f>Данные!F19</f>
        <v>7</v>
      </c>
      <c r="G712" s="5">
        <f>Данные!F33</f>
        <v>5</v>
      </c>
      <c r="H712" s="5">
        <f>Данные!F56</f>
        <v>8</v>
      </c>
      <c r="I712" s="5"/>
      <c r="J712" s="5"/>
      <c r="K712" s="5">
        <f>_xlfn.RANK.AVG(Данные!B12,Данные!$B$2:$B$75,1)</f>
        <v>13.5</v>
      </c>
      <c r="L712" s="5">
        <f>_xlfn.RANK.AVG(Данные!F12,Данные!$F$2:$F$75,1)</f>
        <v>58</v>
      </c>
      <c r="M712" s="5"/>
      <c r="N712" s="5"/>
      <c r="O712" s="5">
        <f>Данные!B12+(-0.105)</f>
        <v>1.895</v>
      </c>
      <c r="P712" s="5">
        <f>Данные!F12</f>
        <v>7</v>
      </c>
      <c r="Q712" s="5"/>
      <c r="S712">
        <f>Данные!$B12+(COUNTIFS(Данные!$B$2:$B12,Данные!$B12,Данные!F$2:F12,Данные!F12)-(COUNTIFS(Данные!$B$2:$B$75,Данные!$B12,Данные!F$2:F$75,Данные!F12)+1)/2)*$S$700</f>
        <v>1.92</v>
      </c>
    </row>
    <row r="713" spans="1:19" x14ac:dyDescent="0.25">
      <c r="A713" s="5" t="s">
        <v>50</v>
      </c>
      <c r="B713" s="8">
        <f>Q880</f>
        <v>1.9934635664685629</v>
      </c>
      <c r="C713" s="5"/>
      <c r="D713" s="5"/>
      <c r="E713" s="5"/>
      <c r="F713" s="5">
        <f>Данные!F20</f>
        <v>8</v>
      </c>
      <c r="G713" s="5">
        <f>Данные!F34</f>
        <v>6</v>
      </c>
      <c r="H713" s="5">
        <f>Данные!F57</f>
        <v>9</v>
      </c>
      <c r="I713" s="5"/>
      <c r="J713" s="5"/>
      <c r="K713" s="5">
        <f>_xlfn.RANK.AVG(Данные!B13,Данные!$B$2:$B$75,1)</f>
        <v>4</v>
      </c>
      <c r="L713" s="5">
        <f>_xlfn.RANK.AVG(Данные!F13,Данные!$F$2:$F$75,1)</f>
        <v>58</v>
      </c>
      <c r="M713" s="5"/>
      <c r="N713" s="5"/>
      <c r="O713" s="5">
        <f>Данные!B13+(-0.035)</f>
        <v>0.96499999999999997</v>
      </c>
      <c r="P713" s="5">
        <f>Данные!F13</f>
        <v>7</v>
      </c>
      <c r="Q713" s="5"/>
      <c r="S713">
        <f>Данные!$B13+(COUNTIFS(Данные!$B$2:$B13,Данные!$B13,Данные!F$2:F13,Данные!F13)-(COUNTIFS(Данные!$B$2:$B$75,Данные!$B13,Данные!F$2:F$75,Данные!F13)+1)/2)*$S$700</f>
        <v>1.08</v>
      </c>
    </row>
    <row r="714" spans="1:19" x14ac:dyDescent="0.25">
      <c r="A714" s="5"/>
      <c r="B714" s="5"/>
      <c r="C714" s="5"/>
      <c r="D714" s="5"/>
      <c r="E714" s="5"/>
      <c r="F714" s="5"/>
      <c r="G714" s="5">
        <f>Данные!F35</f>
        <v>3</v>
      </c>
      <c r="H714" s="5">
        <f>Данные!F58</f>
        <v>5</v>
      </c>
      <c r="I714" s="5"/>
      <c r="J714" s="5"/>
      <c r="K714" s="5">
        <f>_xlfn.RANK.AVG(Данные!B14,Данные!$B$2:$B$75,1)</f>
        <v>4</v>
      </c>
      <c r="L714" s="5">
        <f>_xlfn.RANK.AVG(Данные!F14,Данные!$F$2:$F$75,1)</f>
        <v>43.5</v>
      </c>
      <c r="M714" s="5"/>
      <c r="N714" s="5"/>
      <c r="O714" s="5">
        <f>Данные!B14+(-0.07)</f>
        <v>0.92999999999999994</v>
      </c>
      <c r="P714" s="5">
        <f>Данные!F14</f>
        <v>6</v>
      </c>
      <c r="Q714" s="5"/>
      <c r="S714">
        <f>Данные!$B14+(COUNTIFS(Данные!$B$2:$B14,Данные!$B14,Данные!F$2:F14,Данные!F14)-(COUNTIFS(Данные!$B$2:$B$75,Данные!$B14,Данные!F$2:F$75,Данные!F14)+1)/2)*$S$700</f>
        <v>1.04</v>
      </c>
    </row>
    <row r="715" spans="1:19" x14ac:dyDescent="0.25">
      <c r="A715" s="5"/>
      <c r="B715" s="5"/>
      <c r="C715" s="5"/>
      <c r="D715" s="5"/>
      <c r="E715" s="5"/>
      <c r="F715" s="5"/>
      <c r="G715" s="5">
        <f>Данные!F37</f>
        <v>2</v>
      </c>
      <c r="H715" s="5">
        <f>Данные!F59</f>
        <v>5</v>
      </c>
      <c r="I715" s="5"/>
      <c r="J715" s="5"/>
      <c r="K715" s="5">
        <f>_xlfn.RANK.AVG(Данные!B15,Данные!$B$2:$B$75,1)</f>
        <v>13.5</v>
      </c>
      <c r="L715" s="5">
        <f>_xlfn.RANK.AVG(Данные!F15,Данные!$F$2:$F$75,1)</f>
        <v>25</v>
      </c>
      <c r="M715" s="5"/>
      <c r="N715" s="5"/>
      <c r="O715" s="5">
        <f>Данные!B15+(-0.07)</f>
        <v>1.93</v>
      </c>
      <c r="P715" s="5">
        <f>Данные!F15</f>
        <v>5</v>
      </c>
      <c r="Q715" s="5"/>
      <c r="S715">
        <f>Данные!$B15+(COUNTIFS(Данные!$B$2:$B15,Данные!$B15,Данные!F$2:F15,Данные!F15)-(COUNTIFS(Данные!$B$2:$B$75,Данные!$B15,Данные!F$2:F$75,Данные!F15)+1)/2)*$S$700</f>
        <v>2.04</v>
      </c>
    </row>
    <row r="716" spans="1:19" x14ac:dyDescent="0.25">
      <c r="A716" s="5"/>
      <c r="B716" s="5"/>
      <c r="C716" s="5"/>
      <c r="D716" s="5"/>
      <c r="E716" s="5"/>
      <c r="F716" s="5"/>
      <c r="G716" s="5">
        <f>Данные!F38</f>
        <v>4</v>
      </c>
      <c r="H716" s="5">
        <f>Данные!F60</f>
        <v>5</v>
      </c>
      <c r="I716" s="5"/>
      <c r="J716" s="5"/>
      <c r="K716" s="5">
        <f>_xlfn.RANK.AVG(Данные!B16,Данные!$B$2:$B$75,1)</f>
        <v>13.5</v>
      </c>
      <c r="L716" s="5">
        <f>_xlfn.RANK.AVG(Данные!F16,Данные!$F$2:$F$75,1)</f>
        <v>58</v>
      </c>
      <c r="M716" s="5"/>
      <c r="N716" s="5"/>
      <c r="O716" s="5">
        <f>Данные!B16+(-0.07)</f>
        <v>1.93</v>
      </c>
      <c r="P716" s="5">
        <f>Данные!F16</f>
        <v>7</v>
      </c>
      <c r="Q716" s="5"/>
      <c r="S716">
        <f>Данные!$B16+(COUNTIFS(Данные!$B$2:$B16,Данные!$B16,Данные!F$2:F16,Данные!F16)-(COUNTIFS(Данные!$B$2:$B$75,Данные!$B16,Данные!F$2:F$75,Данные!F16)+1)/2)*$S$700</f>
        <v>2</v>
      </c>
    </row>
    <row r="717" spans="1:19" x14ac:dyDescent="0.25">
      <c r="A717" s="5"/>
      <c r="B717" s="5"/>
      <c r="C717" s="5"/>
      <c r="D717" s="5"/>
      <c r="E717" s="5"/>
      <c r="F717" s="5"/>
      <c r="G717" s="5">
        <f>Данные!F40</f>
        <v>8</v>
      </c>
      <c r="H717" s="5">
        <f>Данные!F62</f>
        <v>6</v>
      </c>
      <c r="I717" s="5"/>
      <c r="J717" s="5"/>
      <c r="K717" s="5">
        <f>_xlfn.RANK.AVG(Данные!B17,Данные!$B$2:$B$75,1)</f>
        <v>13.5</v>
      </c>
      <c r="L717" s="5">
        <f>_xlfn.RANK.AVG(Данные!F17,Данные!$F$2:$F$75,1)</f>
        <v>68</v>
      </c>
      <c r="M717" s="5"/>
      <c r="N717" s="5"/>
      <c r="O717" s="5">
        <f>Данные!B17+(-0.105)</f>
        <v>1.895</v>
      </c>
      <c r="P717" s="5">
        <f>Данные!F17</f>
        <v>8</v>
      </c>
      <c r="Q717" s="5"/>
      <c r="S717">
        <f>Данные!$B17+(COUNTIFS(Данные!$B$2:$B17,Данные!$B17,Данные!F$2:F17,Данные!F17)-(COUNTIFS(Данные!$B$2:$B$75,Данные!$B17,Данные!F$2:F$75,Данные!F17)+1)/2)*$S$700</f>
        <v>1.96</v>
      </c>
    </row>
    <row r="718" spans="1:19" x14ac:dyDescent="0.25">
      <c r="A718" s="5"/>
      <c r="B718" s="5"/>
      <c r="C718" s="5"/>
      <c r="D718" s="5"/>
      <c r="E718" s="5"/>
      <c r="F718" s="5"/>
      <c r="G718" s="5">
        <f>Данные!F42</f>
        <v>5</v>
      </c>
      <c r="H718" s="5">
        <f>Данные!F63</f>
        <v>6</v>
      </c>
      <c r="I718" s="5"/>
      <c r="J718" s="5"/>
      <c r="K718" s="5">
        <f>_xlfn.RANK.AVG(Данные!B18,Данные!$B$2:$B$75,1)</f>
        <v>13.5</v>
      </c>
      <c r="L718" s="5">
        <f>_xlfn.RANK.AVG(Данные!F18,Данные!$F$2:$F$75,1)</f>
        <v>43.5</v>
      </c>
      <c r="M718" s="5"/>
      <c r="N718" s="5"/>
      <c r="O718" s="5">
        <f>Данные!B18+(-0.035)</f>
        <v>1.9650000000000001</v>
      </c>
      <c r="P718" s="5">
        <f>Данные!F18</f>
        <v>6</v>
      </c>
      <c r="Q718" s="5"/>
      <c r="S718">
        <f>Данные!$B18+(COUNTIFS(Данные!$B$2:$B18,Данные!$B18,Данные!F$2:F18,Данные!F18)-(COUNTIFS(Данные!$B$2:$B$75,Данные!$B18,Данные!F$2:F$75,Данные!F18)+1)/2)*$S$700</f>
        <v>2.08</v>
      </c>
    </row>
    <row r="719" spans="1:19" x14ac:dyDescent="0.25">
      <c r="A719" s="5"/>
      <c r="B719" s="5"/>
      <c r="C719" s="5"/>
      <c r="D719" s="5"/>
      <c r="E719" s="5"/>
      <c r="F719" s="5"/>
      <c r="G719" s="5">
        <f>Данные!F44</f>
        <v>8</v>
      </c>
      <c r="H719" s="5">
        <f>Данные!F64</f>
        <v>5</v>
      </c>
      <c r="I719" s="5"/>
      <c r="J719" s="5"/>
      <c r="K719" s="5">
        <f>_xlfn.RANK.AVG(Данные!B19,Данные!$B$2:$B$75,1)</f>
        <v>13.5</v>
      </c>
      <c r="L719" s="5">
        <f>_xlfn.RANK.AVG(Данные!F19,Данные!$F$2:$F$75,1)</f>
        <v>58</v>
      </c>
      <c r="M719" s="5"/>
      <c r="N719" s="5"/>
      <c r="O719" s="5">
        <f>Данные!B19+(-0.035)</f>
        <v>1.9650000000000001</v>
      </c>
      <c r="P719" s="5">
        <f>Данные!F19</f>
        <v>7</v>
      </c>
      <c r="Q719" s="5"/>
      <c r="S719">
        <f>Данные!$B19+(COUNTIFS(Данные!$B$2:$B19,Данные!$B19,Данные!F$2:F19,Данные!F19)-(COUNTIFS(Данные!$B$2:$B$75,Данные!$B19,Данные!F$2:F$75,Данные!F19)+1)/2)*$S$700</f>
        <v>2.08</v>
      </c>
    </row>
    <row r="720" spans="1:19" x14ac:dyDescent="0.25">
      <c r="A720" s="5"/>
      <c r="B720" s="5"/>
      <c r="C720" s="5"/>
      <c r="D720" s="5"/>
      <c r="E720" s="5"/>
      <c r="F720" s="5"/>
      <c r="G720" s="5">
        <f>Данные!F45</f>
        <v>6</v>
      </c>
      <c r="H720" s="5">
        <f>Данные!F65</f>
        <v>6</v>
      </c>
      <c r="I720" s="5"/>
      <c r="J720" s="5"/>
      <c r="K720" s="5">
        <f>_xlfn.RANK.AVG(Данные!B20,Данные!$B$2:$B$75,1)</f>
        <v>13.5</v>
      </c>
      <c r="L720" s="5">
        <f>_xlfn.RANK.AVG(Данные!F20,Данные!$F$2:$F$75,1)</f>
        <v>68</v>
      </c>
      <c r="M720" s="5"/>
      <c r="N720" s="5"/>
      <c r="O720" s="5">
        <f>Данные!B20+(-0.07)</f>
        <v>1.93</v>
      </c>
      <c r="P720" s="5">
        <f>Данные!F20</f>
        <v>8</v>
      </c>
      <c r="Q720" s="5"/>
      <c r="S720">
        <f>Данные!$B20+(COUNTIFS(Данные!$B$2:$B20,Данные!$B20,Данные!F$2:F20,Данные!F20)-(COUNTIFS(Данные!$B$2:$B$75,Данные!$B20,Данные!F$2:F$75,Данные!F20)+1)/2)*$S$700</f>
        <v>2.04</v>
      </c>
    </row>
    <row r="721" spans="1:19" x14ac:dyDescent="0.25">
      <c r="A721" s="5"/>
      <c r="B721" s="5"/>
      <c r="C721" s="5"/>
      <c r="D721" s="5"/>
      <c r="E721" s="5"/>
      <c r="F721" s="5"/>
      <c r="G721" s="5">
        <f>Данные!F47</f>
        <v>5</v>
      </c>
      <c r="H721" s="5">
        <f>Данные!F66</f>
        <v>5</v>
      </c>
      <c r="I721" s="5"/>
      <c r="J721" s="5"/>
      <c r="K721" s="5">
        <f>_xlfn.RANK.AVG(Данные!B21,Данные!$B$2:$B$75,1)</f>
        <v>56.5</v>
      </c>
      <c r="L721" s="5">
        <f>_xlfn.RANK.AVG(Данные!F21,Данные!$F$2:$F$75,1)</f>
        <v>25</v>
      </c>
      <c r="M721" s="5"/>
      <c r="N721" s="5"/>
      <c r="O721" s="5">
        <f>Данные!B21+(-0.105)</f>
        <v>3.895</v>
      </c>
      <c r="P721" s="5">
        <f>Данные!F21</f>
        <v>5</v>
      </c>
      <c r="Q721" s="5"/>
      <c r="S721">
        <f>Данные!$B21+(COUNTIFS(Данные!$B$2:$B21,Данные!$B21,Данные!F$2:F21,Данные!F21)-(COUNTIFS(Данные!$B$2:$B$75,Данные!$B21,Данные!F$2:F$75,Данные!F21)+1)/2)*$S$700</f>
        <v>3.68</v>
      </c>
    </row>
    <row r="722" spans="1:19" x14ac:dyDescent="0.25">
      <c r="A722" s="5"/>
      <c r="B722" s="5"/>
      <c r="C722" s="5"/>
      <c r="D722" s="5"/>
      <c r="E722" s="5"/>
      <c r="F722" s="5"/>
      <c r="G722" s="5">
        <f>Данные!F49</f>
        <v>6</v>
      </c>
      <c r="H722" s="5">
        <f>Данные!F69</f>
        <v>4</v>
      </c>
      <c r="I722" s="5"/>
      <c r="J722" s="5"/>
      <c r="K722" s="5">
        <f>_xlfn.RANK.AVG(Данные!B22,Данные!$B$2:$B$75,1)</f>
        <v>32</v>
      </c>
      <c r="L722" s="5">
        <f>_xlfn.RANK.AVG(Данные!F22,Данные!$F$2:$F$75,1)</f>
        <v>43.5</v>
      </c>
      <c r="M722" s="5"/>
      <c r="N722" s="5"/>
      <c r="O722" s="5">
        <f>Данные!B22+(-0.105)</f>
        <v>2.895</v>
      </c>
      <c r="P722" s="5">
        <f>Данные!F22</f>
        <v>6</v>
      </c>
      <c r="Q722" s="5"/>
      <c r="S722">
        <f>Данные!$B22+(COUNTIFS(Данные!$B$2:$B22,Данные!$B22,Данные!F$2:F22,Данные!F22)-(COUNTIFS(Данные!$B$2:$B$75,Данные!$B22,Данные!F$2:F$75,Данные!F22)+1)/2)*$S$700</f>
        <v>2.8</v>
      </c>
    </row>
    <row r="723" spans="1:19" x14ac:dyDescent="0.25">
      <c r="A723" s="5"/>
      <c r="B723" s="5"/>
      <c r="C723" s="5"/>
      <c r="D723" s="5"/>
      <c r="E723" s="5"/>
      <c r="F723" s="5"/>
      <c r="G723" s="5">
        <f>Данные!F50</f>
        <v>3</v>
      </c>
      <c r="H723" s="5">
        <f>Данные!F70</f>
        <v>4</v>
      </c>
      <c r="I723" s="5"/>
      <c r="J723" s="5"/>
      <c r="K723" s="5">
        <f>_xlfn.RANK.AVG(Данные!B23,Данные!$B$2:$B$75,1)</f>
        <v>32</v>
      </c>
      <c r="L723" s="5">
        <f>_xlfn.RANK.AVG(Данные!F23,Данные!$F$2:$F$75,1)</f>
        <v>25</v>
      </c>
      <c r="M723" s="5"/>
      <c r="N723" s="5"/>
      <c r="O723" s="5">
        <f>Данные!B23+(-0.105)</f>
        <v>2.895</v>
      </c>
      <c r="P723" s="5">
        <f>Данные!F23</f>
        <v>5</v>
      </c>
      <c r="Q723" s="5"/>
      <c r="S723">
        <f>Данные!$B23+(COUNTIFS(Данные!$B$2:$B23,Данные!$B23,Данные!F$2:F23,Данные!F23)-(COUNTIFS(Данные!$B$2:$B$75,Данные!$B23,Данные!F$2:F$75,Данные!F23)+1)/2)*$S$700</f>
        <v>2.8</v>
      </c>
    </row>
    <row r="724" spans="1:19" x14ac:dyDescent="0.25">
      <c r="A724" s="5"/>
      <c r="B724" s="5"/>
      <c r="C724" s="5"/>
      <c r="D724" s="5"/>
      <c r="E724" s="5"/>
      <c r="F724" s="5"/>
      <c r="G724" s="5">
        <f>Данные!F51</f>
        <v>7</v>
      </c>
      <c r="H724" s="5">
        <f>Данные!F74</f>
        <v>5</v>
      </c>
      <c r="I724" s="5"/>
      <c r="J724" s="5"/>
      <c r="K724" s="5">
        <f>_xlfn.RANK.AVG(Данные!B24,Данные!$B$2:$B$75,1)</f>
        <v>32</v>
      </c>
      <c r="L724" s="5">
        <f>_xlfn.RANK.AVG(Данные!F24,Данные!$F$2:$F$75,1)</f>
        <v>43.5</v>
      </c>
      <c r="M724" s="5"/>
      <c r="N724" s="5"/>
      <c r="O724" s="5">
        <f>Данные!B24+(-0.07)</f>
        <v>2.93</v>
      </c>
      <c r="P724" s="5">
        <f>Данные!F24</f>
        <v>6</v>
      </c>
      <c r="Q724" s="5"/>
      <c r="S724">
        <f>Данные!$B24+(COUNTIFS(Данные!$B$2:$B24,Данные!$B24,Данные!F$2:F24,Данные!F24)-(COUNTIFS(Данные!$B$2:$B$75,Данные!$B24,Данные!F$2:F$75,Данные!F24)+1)/2)*$S$700</f>
        <v>2.88</v>
      </c>
    </row>
    <row r="725" spans="1:19" x14ac:dyDescent="0.25">
      <c r="A725" s="5"/>
      <c r="B725" s="5"/>
      <c r="C725" s="5"/>
      <c r="D725" s="5"/>
      <c r="E725" s="5"/>
      <c r="F725" s="5"/>
      <c r="G725" s="5">
        <f>Данные!F52</f>
        <v>8</v>
      </c>
      <c r="H725" s="5">
        <f>Данные!F75</f>
        <v>5</v>
      </c>
      <c r="I725" s="5"/>
      <c r="J725" s="5"/>
      <c r="K725" s="5">
        <f>_xlfn.RANK.AVG(Данные!B25,Данные!$B$2:$B$75,1)</f>
        <v>32</v>
      </c>
      <c r="L725" s="5">
        <f>_xlfn.RANK.AVG(Данные!F25,Данные!$F$2:$F$75,1)</f>
        <v>68</v>
      </c>
      <c r="M725" s="5"/>
      <c r="N725" s="5"/>
      <c r="O725" s="5">
        <f>Данные!B25+(-0.105)</f>
        <v>2.895</v>
      </c>
      <c r="P725" s="5">
        <f>Данные!F25</f>
        <v>8</v>
      </c>
      <c r="Q725" s="5"/>
      <c r="S725">
        <f>Данные!$B25+(COUNTIFS(Данные!$B$2:$B25,Данные!$B25,Данные!F$2:F25,Данные!F25)-(COUNTIFS(Данные!$B$2:$B$75,Данные!$B25,Данные!F$2:F$75,Данные!F25)+1)/2)*$S$700</f>
        <v>2.88</v>
      </c>
    </row>
    <row r="726" spans="1:19" x14ac:dyDescent="0.25">
      <c r="A726" s="5"/>
      <c r="B726" s="5"/>
      <c r="C726" s="5"/>
      <c r="D726" s="5"/>
      <c r="E726" s="5"/>
      <c r="F726" s="5"/>
      <c r="G726" s="5">
        <f>Данные!F54</f>
        <v>5</v>
      </c>
      <c r="H726" s="5"/>
      <c r="I726" s="5"/>
      <c r="J726" s="5"/>
      <c r="K726" s="5">
        <f>_xlfn.RANK.AVG(Данные!B26,Данные!$B$2:$B$75,1)</f>
        <v>32</v>
      </c>
      <c r="L726" s="5">
        <f>_xlfn.RANK.AVG(Данные!F26,Данные!$F$2:$F$75,1)</f>
        <v>2.5</v>
      </c>
      <c r="M726" s="5"/>
      <c r="N726" s="5"/>
      <c r="O726" s="5">
        <f>Данные!B26+(-0.105)</f>
        <v>2.895</v>
      </c>
      <c r="P726" s="5">
        <f>Данные!F26</f>
        <v>2</v>
      </c>
      <c r="Q726" s="5"/>
      <c r="S726">
        <f>Данные!$B26+(COUNTIFS(Данные!$B$2:$B26,Данные!$B26,Данные!F$2:F26,Данные!F26)-(COUNTIFS(Данные!$B$2:$B$75,Данные!$B26,Данные!F$2:F$75,Данные!F26)+1)/2)*$S$700</f>
        <v>2.96</v>
      </c>
    </row>
    <row r="727" spans="1:19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>
        <f>_xlfn.RANK.AVG(Данные!B27,Данные!$B$2:$B$75,1)</f>
        <v>32</v>
      </c>
      <c r="L727" s="5">
        <f>_xlfn.RANK.AVG(Данные!F27,Данные!$F$2:$F$75,1)</f>
        <v>43.5</v>
      </c>
      <c r="M727" s="5"/>
      <c r="N727" s="5"/>
      <c r="O727" s="5">
        <f>Данные!B27+(-0.035)</f>
        <v>2.9649999999999999</v>
      </c>
      <c r="P727" s="5">
        <f>Данные!F27</f>
        <v>6</v>
      </c>
      <c r="Q727" s="5"/>
      <c r="S727">
        <f>Данные!$B27+(COUNTIFS(Данные!$B$2:$B27,Данные!$B27,Данные!F$2:F27,Данные!F27)-(COUNTIFS(Данные!$B$2:$B$75,Данные!$B27,Данные!F$2:F$75,Данные!F27)+1)/2)*$S$700</f>
        <v>2.96</v>
      </c>
    </row>
    <row r="728" spans="1:19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>
        <f>_xlfn.RANK.AVG(Данные!B28,Данные!$B$2:$B$75,1)</f>
        <v>32</v>
      </c>
      <c r="L728" s="5">
        <f>_xlfn.RANK.AVG(Данные!F28,Данные!$F$2:$F$75,1)</f>
        <v>25</v>
      </c>
      <c r="M728" s="5"/>
      <c r="N728" s="5"/>
      <c r="O728" s="5">
        <f>Данные!B28+(-0.07)</f>
        <v>2.93</v>
      </c>
      <c r="P728" s="5">
        <f>Данные!F28</f>
        <v>5</v>
      </c>
      <c r="Q728" s="5"/>
      <c r="S728">
        <f>Данные!$B28+(COUNTIFS(Данные!$B$2:$B28,Данные!$B28,Данные!F$2:F28,Данные!F28)-(COUNTIFS(Данные!$B$2:$B$75,Данные!$B28,Данные!F$2:F$75,Данные!F28)+1)/2)*$S$700</f>
        <v>2.88</v>
      </c>
    </row>
    <row r="729" spans="1:19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>
        <f>_xlfn.RANK.AVG(Данные!B29,Данные!$B$2:$B$75,1)</f>
        <v>32</v>
      </c>
      <c r="L729" s="5">
        <f>_xlfn.RANK.AVG(Данные!F29,Данные!$F$2:$F$75,1)</f>
        <v>58</v>
      </c>
      <c r="M729" s="5"/>
      <c r="N729" s="5"/>
      <c r="O729" s="5">
        <f>Данные!B29+(-0.105)</f>
        <v>2.895</v>
      </c>
      <c r="P729" s="5">
        <f>Данные!F29</f>
        <v>7</v>
      </c>
      <c r="Q729" s="5"/>
      <c r="S729">
        <f>Данные!$B29+(COUNTIFS(Данные!$B$2:$B29,Данные!$B29,Данные!F$2:F29,Данные!F29)-(COUNTIFS(Данные!$B$2:$B$75,Данные!$B29,Данные!F$2:F$75,Данные!F29)+1)/2)*$S$700</f>
        <v>2.92</v>
      </c>
    </row>
    <row r="730" spans="1:19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>
        <f>_xlfn.RANK.AVG(Данные!B30,Данные!$B$2:$B$75,1)</f>
        <v>32</v>
      </c>
      <c r="L730" s="5">
        <f>_xlfn.RANK.AVG(Данные!F30,Данные!$F$2:$F$75,1)</f>
        <v>73.5</v>
      </c>
      <c r="M730" s="5"/>
      <c r="N730" s="5"/>
      <c r="O730" s="5">
        <f>Данные!B30+(-0.105)</f>
        <v>2.895</v>
      </c>
      <c r="P730" s="5">
        <f>Данные!F30</f>
        <v>9</v>
      </c>
      <c r="Q730" s="5"/>
      <c r="S730">
        <f>Данные!$B30+(COUNTIFS(Данные!$B$2:$B30,Данные!$B30,Данные!F$2:F30,Данные!F30)-(COUNTIFS(Данные!$B$2:$B$75,Данные!$B30,Данные!F$2:F$75,Данные!F30)+1)/2)*$S$700</f>
        <v>3</v>
      </c>
    </row>
    <row r="731" spans="1:19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>
        <f>_xlfn.RANK.AVG(Данные!B31,Данные!$B$2:$B$75,1)</f>
        <v>56.5</v>
      </c>
      <c r="L731" s="5">
        <f>_xlfn.RANK.AVG(Данные!F31,Данные!$F$2:$F$75,1)</f>
        <v>43.5</v>
      </c>
      <c r="M731" s="5"/>
      <c r="N731" s="5"/>
      <c r="O731" s="5">
        <f>Данные!B31+(-0.105)</f>
        <v>3.895</v>
      </c>
      <c r="P731" s="5">
        <f>Данные!F31</f>
        <v>6</v>
      </c>
      <c r="Q731" s="5"/>
      <c r="S731">
        <f>Данные!$B31+(COUNTIFS(Данные!$B$2:$B31,Данные!$B31,Данные!F$2:F31,Данные!F31)-(COUNTIFS(Данные!$B$2:$B$75,Данные!$B31,Данные!F$2:F$75,Данные!F31)+1)/2)*$S$700</f>
        <v>3.8</v>
      </c>
    </row>
    <row r="732" spans="1:19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>
        <f>_xlfn.RANK.AVG(Данные!B32,Данные!$B$2:$B$75,1)</f>
        <v>32</v>
      </c>
      <c r="L732" s="5">
        <f>_xlfn.RANK.AVG(Данные!F32,Данные!$F$2:$F$75,1)</f>
        <v>58</v>
      </c>
      <c r="M732" s="5"/>
      <c r="N732" s="5"/>
      <c r="O732" s="5">
        <f>Данные!B32+(-0.07)</f>
        <v>2.93</v>
      </c>
      <c r="P732" s="5">
        <f>Данные!F32</f>
        <v>7</v>
      </c>
      <c r="Q732" s="5"/>
      <c r="S732">
        <f>Данные!$B32+(COUNTIFS(Данные!$B$2:$B32,Данные!$B32,Данные!F$2:F32,Данные!F32)-(COUNTIFS(Данные!$B$2:$B$75,Данные!$B32,Данные!F$2:F$75,Данные!F32)+1)/2)*$S$700</f>
        <v>3</v>
      </c>
    </row>
    <row r="733" spans="1:19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>
        <f>_xlfn.RANK.AVG(Данные!B33,Данные!$B$2:$B$75,1)</f>
        <v>32</v>
      </c>
      <c r="L733" s="5">
        <f>_xlfn.RANK.AVG(Данные!F33,Данные!$F$2:$F$75,1)</f>
        <v>25</v>
      </c>
      <c r="M733" s="5"/>
      <c r="N733" s="5"/>
      <c r="O733" s="5">
        <f>Данные!B33+(-0.035)</f>
        <v>2.9649999999999999</v>
      </c>
      <c r="P733" s="5">
        <f>Данные!F33</f>
        <v>5</v>
      </c>
      <c r="Q733" s="5"/>
      <c r="S733">
        <f>Данные!$B33+(COUNTIFS(Данные!$B$2:$B33,Данные!$B33,Данные!F$2:F33,Данные!F33)-(COUNTIFS(Данные!$B$2:$B$75,Данные!$B33,Данные!F$2:F$75,Данные!F33)+1)/2)*$S$700</f>
        <v>2.96</v>
      </c>
    </row>
    <row r="734" spans="1:19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>
        <f>_xlfn.RANK.AVG(Данные!B34,Данные!$B$2:$B$75,1)</f>
        <v>32</v>
      </c>
      <c r="L734" s="5">
        <f>_xlfn.RANK.AVG(Данные!F34,Данные!$F$2:$F$75,1)</f>
        <v>43.5</v>
      </c>
      <c r="M734" s="5"/>
      <c r="N734" s="5"/>
      <c r="O734" s="5">
        <f>Данные!B34+(0)</f>
        <v>3</v>
      </c>
      <c r="P734" s="5">
        <f>Данные!F34</f>
        <v>6</v>
      </c>
      <c r="Q734" s="5"/>
      <c r="S734">
        <f>Данные!$B34+(COUNTIFS(Данные!$B$2:$B34,Данные!$B34,Данные!F$2:F34,Данные!F34)-(COUNTIFS(Данные!$B$2:$B$75,Данные!$B34,Данные!F$2:F$75,Данные!F34)+1)/2)*$S$700</f>
        <v>3.04</v>
      </c>
    </row>
    <row r="735" spans="1:19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>
        <f>_xlfn.RANK.AVG(Данные!B35,Данные!$B$2:$B$75,1)</f>
        <v>32</v>
      </c>
      <c r="L735" s="5">
        <f>_xlfn.RANK.AVG(Данные!F35,Данные!$F$2:$F$75,1)</f>
        <v>8.5</v>
      </c>
      <c r="M735" s="5"/>
      <c r="N735" s="5"/>
      <c r="O735" s="5">
        <f>Данные!B35+(-0.105)</f>
        <v>2.895</v>
      </c>
      <c r="P735" s="5">
        <f>Данные!F35</f>
        <v>3</v>
      </c>
      <c r="Q735" s="5"/>
      <c r="S735">
        <f>Данные!$B35+(COUNTIFS(Данные!$B$2:$B35,Данные!$B35,Данные!F$2:F35,Данные!F35)-(COUNTIFS(Данные!$B$2:$B$75,Данные!$B35,Данные!F$2:F$75,Данные!F35)+1)/2)*$S$700</f>
        <v>2.96</v>
      </c>
    </row>
    <row r="736" spans="1:19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>
        <f>_xlfn.RANK.AVG(Данные!B36,Данные!$B$2:$B$75,1)</f>
        <v>56.5</v>
      </c>
      <c r="L736" s="5">
        <f>_xlfn.RANK.AVG(Данные!F36,Данные!$F$2:$F$75,1)</f>
        <v>58</v>
      </c>
      <c r="M736" s="5"/>
      <c r="N736" s="5"/>
      <c r="O736" s="5">
        <f>Данные!B36+(-0.105)</f>
        <v>3.895</v>
      </c>
      <c r="P736" s="5">
        <f>Данные!F36</f>
        <v>7</v>
      </c>
      <c r="Q736" s="5"/>
      <c r="S736">
        <f>Данные!$B36+(COUNTIFS(Данные!$B$2:$B36,Данные!$B36,Данные!F$2:F36,Данные!F36)-(COUNTIFS(Данные!$B$2:$B$75,Данные!$B36,Данные!F$2:F$75,Данные!F36)+1)/2)*$S$700</f>
        <v>4</v>
      </c>
    </row>
    <row r="737" spans="1:19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>
        <f>_xlfn.RANK.AVG(Данные!B37,Данные!$B$2:$B$75,1)</f>
        <v>32</v>
      </c>
      <c r="L737" s="5">
        <f>_xlfn.RANK.AVG(Данные!F37,Данные!$F$2:$F$75,1)</f>
        <v>2.5</v>
      </c>
      <c r="M737" s="5"/>
      <c r="N737" s="5"/>
      <c r="O737" s="5">
        <f>Данные!B37+(-0.07)</f>
        <v>2.93</v>
      </c>
      <c r="P737" s="5">
        <f>Данные!F37</f>
        <v>2</v>
      </c>
      <c r="Q737" s="5"/>
      <c r="S737">
        <f>Данные!$B37+(COUNTIFS(Данные!$B$2:$B37,Данные!$B37,Данные!F$2:F37,Данные!F37)-(COUNTIFS(Данные!$B$2:$B$75,Данные!$B37,Данные!F$2:F$75,Данные!F37)+1)/2)*$S$700</f>
        <v>3.04</v>
      </c>
    </row>
    <row r="738" spans="1:19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>
        <f>_xlfn.RANK.AVG(Данные!B38,Данные!$B$2:$B$75,1)</f>
        <v>32</v>
      </c>
      <c r="L738" s="5">
        <f>_xlfn.RANK.AVG(Данные!F38,Данные!$F$2:$F$75,1)</f>
        <v>14</v>
      </c>
      <c r="M738" s="5"/>
      <c r="N738" s="5"/>
      <c r="O738" s="5">
        <f>Данные!B38+(-0.105)</f>
        <v>2.895</v>
      </c>
      <c r="P738" s="5">
        <f>Данные!F38</f>
        <v>4</v>
      </c>
      <c r="Q738" s="5"/>
      <c r="S738">
        <f>Данные!$B38+(COUNTIFS(Данные!$B$2:$B38,Данные!$B38,Данные!F$2:F38,Данные!F38)-(COUNTIFS(Данные!$B$2:$B$75,Данные!$B38,Данные!F$2:F$75,Данные!F38)+1)/2)*$S$700</f>
        <v>3</v>
      </c>
    </row>
    <row r="739" spans="1:19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>
        <f>_xlfn.RANK.AVG(Данные!B39,Данные!$B$2:$B$75,1)</f>
        <v>56.5</v>
      </c>
      <c r="L739" s="5">
        <f>_xlfn.RANK.AVG(Данные!F39,Данные!$F$2:$F$75,1)</f>
        <v>2.5</v>
      </c>
      <c r="M739" s="5"/>
      <c r="N739" s="5"/>
      <c r="O739" s="5">
        <f>Данные!B39+(-0.105)</f>
        <v>3.895</v>
      </c>
      <c r="P739" s="5">
        <f>Данные!F39</f>
        <v>2</v>
      </c>
      <c r="Q739" s="5"/>
      <c r="S739">
        <f>Данные!$B39+(COUNTIFS(Данные!$B$2:$B39,Данные!$B39,Данные!F$2:F39,Данные!F39)-(COUNTIFS(Данные!$B$2:$B$75,Данные!$B39,Данные!F$2:F$75,Данные!F39)+1)/2)*$S$700</f>
        <v>4</v>
      </c>
    </row>
    <row r="740" spans="1:19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>
        <f>_xlfn.RANK.AVG(Данные!B40,Данные!$B$2:$B$75,1)</f>
        <v>32</v>
      </c>
      <c r="L740" s="5">
        <f>_xlfn.RANK.AVG(Данные!F40,Данные!$F$2:$F$75,1)</f>
        <v>68</v>
      </c>
      <c r="M740" s="5"/>
      <c r="N740" s="5"/>
      <c r="O740" s="5">
        <f>Данные!B40+(-0.07)</f>
        <v>2.93</v>
      </c>
      <c r="P740" s="5">
        <f>Данные!F40</f>
        <v>8</v>
      </c>
      <c r="Q740" s="5"/>
      <c r="S740">
        <f>Данные!$B40+(COUNTIFS(Данные!$B$2:$B40,Данные!$B40,Данные!F$2:F40,Данные!F40)-(COUNTIFS(Данные!$B$2:$B$75,Данные!$B40,Данные!F$2:F$75,Данные!F40)+1)/2)*$S$700</f>
        <v>2.96</v>
      </c>
    </row>
    <row r="741" spans="1:19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>
        <f>_xlfn.RANK.AVG(Данные!B41,Данные!$B$2:$B$75,1)</f>
        <v>56.5</v>
      </c>
      <c r="L741" s="5">
        <f>_xlfn.RANK.AVG(Данные!F41,Данные!$F$2:$F$75,1)</f>
        <v>43.5</v>
      </c>
      <c r="M741" s="5"/>
      <c r="N741" s="5"/>
      <c r="O741" s="5">
        <f>Данные!B41+(-0.07)</f>
        <v>3.93</v>
      </c>
      <c r="P741" s="5">
        <f>Данные!F41</f>
        <v>6</v>
      </c>
      <c r="Q741" s="5"/>
      <c r="S741">
        <f>Данные!$B41+(COUNTIFS(Данные!$B$2:$B41,Данные!$B41,Данные!F$2:F41,Данные!F41)-(COUNTIFS(Данные!$B$2:$B$75,Данные!$B41,Данные!F$2:F$75,Данные!F41)+1)/2)*$S$700</f>
        <v>3.88</v>
      </c>
    </row>
    <row r="742" spans="1:19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>
        <f>_xlfn.RANK.AVG(Данные!B42,Данные!$B$2:$B$75,1)</f>
        <v>32</v>
      </c>
      <c r="L742" s="5">
        <f>_xlfn.RANK.AVG(Данные!F42,Данные!$F$2:$F$75,1)</f>
        <v>25</v>
      </c>
      <c r="M742" s="5"/>
      <c r="N742" s="5"/>
      <c r="O742" s="5">
        <f>Данные!B42+(0)</f>
        <v>3</v>
      </c>
      <c r="P742" s="5">
        <f>Данные!F42</f>
        <v>5</v>
      </c>
      <c r="Q742" s="5"/>
      <c r="S742">
        <f>Данные!$B42+(COUNTIFS(Данные!$B$2:$B42,Данные!$B42,Данные!F$2:F42,Данные!F42)-(COUNTIFS(Данные!$B$2:$B$75,Данные!$B42,Данные!F$2:F$75,Данные!F42)+1)/2)*$S$700</f>
        <v>3.04</v>
      </c>
    </row>
    <row r="743" spans="1:19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>
        <f>_xlfn.RANK.AVG(Данные!B43,Данные!$B$2:$B$75,1)</f>
        <v>56.5</v>
      </c>
      <c r="L743" s="5">
        <f>_xlfn.RANK.AVG(Данные!F43,Данные!$F$2:$F$75,1)</f>
        <v>8.5</v>
      </c>
      <c r="M743" s="5"/>
      <c r="N743" s="5"/>
      <c r="O743" s="5">
        <f>Данные!B43+(-0.105)</f>
        <v>3.895</v>
      </c>
      <c r="P743" s="5">
        <f>Данные!F43</f>
        <v>3</v>
      </c>
      <c r="Q743" s="5"/>
      <c r="S743">
        <f>Данные!$B43+(COUNTIFS(Данные!$B$2:$B43,Данные!$B43,Данные!F$2:F43,Данные!F43)-(COUNTIFS(Данные!$B$2:$B$75,Данные!$B43,Данные!F$2:F$75,Данные!F43)+1)/2)*$S$700</f>
        <v>3.96</v>
      </c>
    </row>
    <row r="744" spans="1:19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>
        <f>_xlfn.RANK.AVG(Данные!B44,Данные!$B$2:$B$75,1)</f>
        <v>32</v>
      </c>
      <c r="L744" s="5">
        <f>_xlfn.RANK.AVG(Данные!F44,Данные!$F$2:$F$75,1)</f>
        <v>68</v>
      </c>
      <c r="M744" s="5"/>
      <c r="N744" s="5"/>
      <c r="O744" s="5">
        <f>Данные!B44+(-0.035)</f>
        <v>2.9649999999999999</v>
      </c>
      <c r="P744" s="5">
        <f>Данные!F44</f>
        <v>8</v>
      </c>
      <c r="Q744" s="5"/>
      <c r="S744">
        <f>Данные!$B44+(COUNTIFS(Данные!$B$2:$B44,Данные!$B44,Данные!F$2:F44,Данные!F44)-(COUNTIFS(Данные!$B$2:$B$75,Данные!$B44,Данные!F$2:F$75,Данные!F44)+1)/2)*$S$700</f>
        <v>3.04</v>
      </c>
    </row>
    <row r="745" spans="1:19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>
        <f>_xlfn.RANK.AVG(Данные!B45,Данные!$B$2:$B$75,1)</f>
        <v>32</v>
      </c>
      <c r="L745" s="5">
        <f>_xlfn.RANK.AVG(Данные!F45,Данные!$F$2:$F$75,1)</f>
        <v>43.5</v>
      </c>
      <c r="M745" s="5"/>
      <c r="N745" s="5"/>
      <c r="O745" s="5">
        <f>Данные!B45+(0.035)</f>
        <v>3.0350000000000001</v>
      </c>
      <c r="P745" s="5">
        <f>Данные!F45</f>
        <v>6</v>
      </c>
      <c r="Q745" s="5"/>
      <c r="S745">
        <f>Данные!$B45+(COUNTIFS(Данные!$B$2:$B45,Данные!$B45,Данные!F$2:F45,Данные!F45)-(COUNTIFS(Данные!$B$2:$B$75,Данные!$B45,Данные!F$2:F$75,Данные!F45)+1)/2)*$S$700</f>
        <v>3.12</v>
      </c>
    </row>
    <row r="746" spans="1:19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>
        <f>_xlfn.RANK.AVG(Данные!B46,Данные!$B$2:$B$75,1)</f>
        <v>56.5</v>
      </c>
      <c r="L746" s="5">
        <f>_xlfn.RANK.AVG(Данные!F46,Данные!$F$2:$F$75,1)</f>
        <v>43.5</v>
      </c>
      <c r="M746" s="5"/>
      <c r="N746" s="5"/>
      <c r="O746" s="5">
        <f>Данные!B46+(-0.035)</f>
        <v>3.9649999999999999</v>
      </c>
      <c r="P746" s="5">
        <f>Данные!F46</f>
        <v>6</v>
      </c>
      <c r="Q746" s="5"/>
      <c r="S746">
        <f>Данные!$B46+(COUNTIFS(Данные!$B$2:$B46,Данные!$B46,Данные!F$2:F46,Данные!F46)-(COUNTIFS(Данные!$B$2:$B$75,Данные!$B46,Данные!F$2:F$75,Данные!F46)+1)/2)*$S$700</f>
        <v>3.96</v>
      </c>
    </row>
    <row r="747" spans="1:19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>
        <f>_xlfn.RANK.AVG(Данные!B47,Данные!$B$2:$B$75,1)</f>
        <v>32</v>
      </c>
      <c r="L747" s="5">
        <f>_xlfn.RANK.AVG(Данные!F47,Данные!$F$2:$F$75,1)</f>
        <v>25</v>
      </c>
      <c r="M747" s="5"/>
      <c r="N747" s="5"/>
      <c r="O747" s="5">
        <f>Данные!B47+(0.035)</f>
        <v>3.0350000000000001</v>
      </c>
      <c r="P747" s="5">
        <f>Данные!F47</f>
        <v>5</v>
      </c>
      <c r="Q747" s="5"/>
      <c r="S747">
        <f>Данные!$B47+(COUNTIFS(Данные!$B$2:$B47,Данные!$B47,Данные!F$2:F47,Данные!F47)-(COUNTIFS(Данные!$B$2:$B$75,Данные!$B47,Данные!F$2:F$75,Данные!F47)+1)/2)*$S$700</f>
        <v>3.12</v>
      </c>
    </row>
    <row r="748" spans="1:19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>
        <f>_xlfn.RANK.AVG(Данные!B48,Данные!$B$2:$B$75,1)</f>
        <v>56.5</v>
      </c>
      <c r="L748" s="5">
        <f>_xlfn.RANK.AVG(Данные!F48,Данные!$F$2:$F$75,1)</f>
        <v>68</v>
      </c>
      <c r="M748" s="5"/>
      <c r="N748" s="5"/>
      <c r="O748" s="5">
        <f>Данные!B48+(-0.105)</f>
        <v>3.895</v>
      </c>
      <c r="P748" s="5">
        <f>Данные!F48</f>
        <v>8</v>
      </c>
      <c r="Q748" s="5"/>
      <c r="S748">
        <f>Данные!$B48+(COUNTIFS(Данные!$B$2:$B48,Данные!$B48,Данные!F$2:F48,Данные!F48)-(COUNTIFS(Данные!$B$2:$B$75,Данные!$B48,Данные!F$2:F$75,Данные!F48)+1)/2)*$S$700</f>
        <v>3.96</v>
      </c>
    </row>
    <row r="749" spans="1:19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>
        <f>_xlfn.RANK.AVG(Данные!B49,Данные!$B$2:$B$75,1)</f>
        <v>32</v>
      </c>
      <c r="L749" s="5">
        <f>_xlfn.RANK.AVG(Данные!F49,Данные!$F$2:$F$75,1)</f>
        <v>43.5</v>
      </c>
      <c r="M749" s="5"/>
      <c r="N749" s="5"/>
      <c r="O749" s="5">
        <f>Данные!B49+(0.07)</f>
        <v>3.07</v>
      </c>
      <c r="P749" s="5">
        <f>Данные!F49</f>
        <v>6</v>
      </c>
      <c r="Q749" s="5"/>
      <c r="S749">
        <f>Данные!$B49+(COUNTIFS(Данные!$B$2:$B49,Данные!$B49,Данные!F$2:F49,Данные!F49)-(COUNTIFS(Данные!$B$2:$B$75,Данные!$B49,Данные!F$2:F$75,Данные!F49)+1)/2)*$S$700</f>
        <v>3.2</v>
      </c>
    </row>
    <row r="750" spans="1:19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>
        <f>_xlfn.RANK.AVG(Данные!B50,Данные!$B$2:$B$75,1)</f>
        <v>32</v>
      </c>
      <c r="L750" s="5">
        <f>_xlfn.RANK.AVG(Данные!F50,Данные!$F$2:$F$75,1)</f>
        <v>8.5</v>
      </c>
      <c r="M750" s="5"/>
      <c r="N750" s="5"/>
      <c r="O750" s="5">
        <f>Данные!B50+(-0.07)</f>
        <v>2.93</v>
      </c>
      <c r="P750" s="5">
        <f>Данные!F50</f>
        <v>3</v>
      </c>
      <c r="Q750" s="5"/>
      <c r="S750">
        <f>Данные!$B50+(COUNTIFS(Данные!$B$2:$B50,Данные!$B50,Данные!F$2:F50,Данные!F50)-(COUNTIFS(Данные!$B$2:$B$75,Данные!$B50,Данные!F$2:F$75,Данные!F50)+1)/2)*$S$700</f>
        <v>3.04</v>
      </c>
    </row>
    <row r="751" spans="1:19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>
        <f>_xlfn.RANK.AVG(Данные!B51,Данные!$B$2:$B$75,1)</f>
        <v>32</v>
      </c>
      <c r="L751" s="5">
        <f>_xlfn.RANK.AVG(Данные!F51,Данные!$F$2:$F$75,1)</f>
        <v>58</v>
      </c>
      <c r="M751" s="5"/>
      <c r="N751" s="5"/>
      <c r="O751" s="5">
        <f>Данные!B51+(-0.035)</f>
        <v>2.9649999999999999</v>
      </c>
      <c r="P751" s="5">
        <f>Данные!F51</f>
        <v>7</v>
      </c>
      <c r="Q751" s="5"/>
      <c r="S751">
        <f>Данные!$B51+(COUNTIFS(Данные!$B$2:$B51,Данные!$B51,Данные!F$2:F51,Данные!F51)-(COUNTIFS(Данные!$B$2:$B$75,Данные!$B51,Данные!F$2:F$75,Данные!F51)+1)/2)*$S$700</f>
        <v>3.08</v>
      </c>
    </row>
    <row r="752" spans="1:19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>
        <f>_xlfn.RANK.AVG(Данные!B52,Данные!$B$2:$B$75,1)</f>
        <v>32</v>
      </c>
      <c r="L752" s="5">
        <f>_xlfn.RANK.AVG(Данные!F52,Данные!$F$2:$F$75,1)</f>
        <v>68</v>
      </c>
      <c r="M752" s="5"/>
      <c r="N752" s="5"/>
      <c r="O752" s="5">
        <f>Данные!B52+(0)</f>
        <v>3</v>
      </c>
      <c r="P752" s="5">
        <f>Данные!F52</f>
        <v>8</v>
      </c>
      <c r="Q752" s="5"/>
      <c r="S752">
        <f>Данные!$B52+(COUNTIFS(Данные!$B$2:$B52,Данные!$B52,Данные!F$2:F52,Данные!F52)-(COUNTIFS(Данные!$B$2:$B$75,Данные!$B52,Данные!F$2:F$75,Данные!F52)+1)/2)*$S$700</f>
        <v>3.12</v>
      </c>
    </row>
    <row r="753" spans="1:19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>
        <f>_xlfn.RANK.AVG(Данные!B53,Данные!$B$2:$B$75,1)</f>
        <v>56.5</v>
      </c>
      <c r="L753" s="5">
        <f>_xlfn.RANK.AVG(Данные!F53,Данные!$F$2:$F$75,1)</f>
        <v>8.5</v>
      </c>
      <c r="M753" s="5"/>
      <c r="N753" s="5"/>
      <c r="O753" s="5">
        <f>Данные!B53+(-0.07)</f>
        <v>3.93</v>
      </c>
      <c r="P753" s="5">
        <f>Данные!F53</f>
        <v>3</v>
      </c>
      <c r="Q753" s="5"/>
      <c r="S753">
        <f>Данные!$B53+(COUNTIFS(Данные!$B$2:$B53,Данные!$B53,Данные!F$2:F53,Данные!F53)-(COUNTIFS(Данные!$B$2:$B$75,Данные!$B53,Данные!F$2:F$75,Данные!F53)+1)/2)*$S$700</f>
        <v>4.04</v>
      </c>
    </row>
    <row r="754" spans="1:19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>
        <f>_xlfn.RANK.AVG(Данные!B54,Данные!$B$2:$B$75,1)</f>
        <v>32</v>
      </c>
      <c r="L754" s="5">
        <f>_xlfn.RANK.AVG(Данные!F54,Данные!$F$2:$F$75,1)</f>
        <v>25</v>
      </c>
      <c r="M754" s="5"/>
      <c r="N754" s="5"/>
      <c r="O754" s="5">
        <f>Данные!B54+(0.07)</f>
        <v>3.07</v>
      </c>
      <c r="P754" s="5">
        <f>Данные!F54</f>
        <v>5</v>
      </c>
      <c r="Q754" s="5"/>
      <c r="S754">
        <f>Данные!$B54+(COUNTIFS(Данные!$B$2:$B54,Данные!$B54,Данные!F$2:F54,Данные!F54)-(COUNTIFS(Данные!$B$2:$B$75,Данные!$B54,Данные!F$2:F$75,Данные!F54)+1)/2)*$S$700</f>
        <v>3.2</v>
      </c>
    </row>
    <row r="755" spans="1:19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>
        <f>_xlfn.RANK.AVG(Данные!B55,Данные!$B$2:$B$75,1)</f>
        <v>56.5</v>
      </c>
      <c r="L755" s="5">
        <f>_xlfn.RANK.AVG(Данные!F55,Данные!$F$2:$F$75,1)</f>
        <v>25</v>
      </c>
      <c r="M755" s="5"/>
      <c r="N755" s="5"/>
      <c r="O755" s="5">
        <f>Данные!B55+(-0.07)</f>
        <v>3.93</v>
      </c>
      <c r="P755" s="5">
        <f>Данные!F55</f>
        <v>5</v>
      </c>
      <c r="Q755" s="5"/>
      <c r="S755">
        <f>Данные!$B55+(COUNTIFS(Данные!$B$2:$B55,Данные!$B55,Данные!F$2:F55,Данные!F55)-(COUNTIFS(Данные!$B$2:$B$75,Данные!$B55,Данные!F$2:F$75,Данные!F55)+1)/2)*$S$700</f>
        <v>3.76</v>
      </c>
    </row>
    <row r="756" spans="1:19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>
        <f>_xlfn.RANK.AVG(Данные!B56,Данные!$B$2:$B$75,1)</f>
        <v>56.5</v>
      </c>
      <c r="L756" s="5">
        <f>_xlfn.RANK.AVG(Данные!F56,Данные!$F$2:$F$75,1)</f>
        <v>68</v>
      </c>
      <c r="M756" s="5"/>
      <c r="N756" s="5"/>
      <c r="O756" s="5">
        <f>Данные!B56+(-0.07)</f>
        <v>3.93</v>
      </c>
      <c r="P756" s="5">
        <f>Данные!F56</f>
        <v>8</v>
      </c>
      <c r="Q756" s="5"/>
      <c r="S756">
        <f>Данные!$B56+(COUNTIFS(Данные!$B$2:$B56,Данные!$B56,Данные!F$2:F56,Данные!F56)-(COUNTIFS(Данные!$B$2:$B$75,Данные!$B56,Данные!F$2:F$75,Данные!F56)+1)/2)*$S$700</f>
        <v>4.04</v>
      </c>
    </row>
    <row r="757" spans="1:19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>
        <f>_xlfn.RANK.AVG(Данные!B57,Данные!$B$2:$B$75,1)</f>
        <v>56.5</v>
      </c>
      <c r="L757" s="5">
        <f>_xlfn.RANK.AVG(Данные!F57,Данные!$F$2:$F$75,1)</f>
        <v>73.5</v>
      </c>
      <c r="M757" s="5"/>
      <c r="N757" s="5"/>
      <c r="O757" s="5">
        <f>Данные!B57+(-0.105)</f>
        <v>3.895</v>
      </c>
      <c r="P757" s="5">
        <f>Данные!F57</f>
        <v>9</v>
      </c>
      <c r="Q757" s="5"/>
      <c r="S757">
        <f>Данные!$B57+(COUNTIFS(Данные!$B$2:$B57,Данные!$B57,Данные!F$2:F57,Данные!F57)-(COUNTIFS(Данные!$B$2:$B$75,Данные!$B57,Данные!F$2:F$75,Данные!F57)+1)/2)*$S$700</f>
        <v>4</v>
      </c>
    </row>
    <row r="758" spans="1:19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>
        <f>_xlfn.RANK.AVG(Данные!B58,Данные!$B$2:$B$75,1)</f>
        <v>56.5</v>
      </c>
      <c r="L758" s="5">
        <f>_xlfn.RANK.AVG(Данные!F58,Данные!$F$2:$F$75,1)</f>
        <v>25</v>
      </c>
      <c r="M758" s="5"/>
      <c r="N758" s="5"/>
      <c r="O758" s="5">
        <f>Данные!B58+(-0.035)</f>
        <v>3.9649999999999999</v>
      </c>
      <c r="P758" s="5">
        <f>Данные!F58</f>
        <v>5</v>
      </c>
      <c r="Q758" s="5"/>
      <c r="S758">
        <f>Данные!$B58+(COUNTIFS(Данные!$B$2:$B58,Данные!$B58,Данные!F$2:F58,Данные!F58)-(COUNTIFS(Данные!$B$2:$B$75,Данные!$B58,Данные!F$2:F$75,Данные!F58)+1)/2)*$S$700</f>
        <v>3.84</v>
      </c>
    </row>
    <row r="759" spans="1:19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>
        <f>_xlfn.RANK.AVG(Данные!B59,Данные!$B$2:$B$75,1)</f>
        <v>56.5</v>
      </c>
      <c r="L759" s="5">
        <f>_xlfn.RANK.AVG(Данные!F59,Данные!$F$2:$F$75,1)</f>
        <v>25</v>
      </c>
      <c r="M759" s="5"/>
      <c r="N759" s="5"/>
      <c r="O759" s="5">
        <f>Данные!B59+(0)</f>
        <v>4</v>
      </c>
      <c r="P759" s="5">
        <f>Данные!F59</f>
        <v>5</v>
      </c>
      <c r="Q759" s="5"/>
      <c r="S759">
        <f>Данные!$B59+(COUNTIFS(Данные!$B$2:$B59,Данные!$B59,Данные!F$2:F59,Данные!F59)-(COUNTIFS(Данные!$B$2:$B$75,Данные!$B59,Данные!F$2:F$75,Данные!F59)+1)/2)*$S$700</f>
        <v>3.92</v>
      </c>
    </row>
    <row r="760" spans="1:19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>
        <f>_xlfn.RANK.AVG(Данные!B60,Данные!$B$2:$B$75,1)</f>
        <v>56.5</v>
      </c>
      <c r="L760" s="5">
        <f>_xlfn.RANK.AVG(Данные!F60,Данные!$F$2:$F$75,1)</f>
        <v>25</v>
      </c>
      <c r="M760" s="5"/>
      <c r="N760" s="5"/>
      <c r="O760" s="5">
        <f>Данные!B60+(0.035)</f>
        <v>4.0350000000000001</v>
      </c>
      <c r="P760" s="5">
        <f>Данные!F60</f>
        <v>5</v>
      </c>
      <c r="Q760" s="5"/>
      <c r="S760">
        <f>Данные!$B60+(COUNTIFS(Данные!$B$2:$B60,Данные!$B60,Данные!F$2:F60,Данные!F60)-(COUNTIFS(Данные!$B$2:$B$75,Данные!$B60,Данные!F$2:F$75,Данные!F60)+1)/2)*$S$700</f>
        <v>4</v>
      </c>
    </row>
    <row r="761" spans="1:19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>
        <f>_xlfn.RANK.AVG(Данные!B61,Данные!$B$2:$B$75,1)</f>
        <v>71.5</v>
      </c>
      <c r="L761" s="5">
        <f>_xlfn.RANK.AVG(Данные!F61,Данные!$F$2:$F$75,1)</f>
        <v>2.5</v>
      </c>
      <c r="M761" s="5"/>
      <c r="N761" s="5"/>
      <c r="O761" s="5">
        <f>Данные!B61+(-0.105)</f>
        <v>4.8949999999999996</v>
      </c>
      <c r="P761" s="5">
        <f>Данные!F61</f>
        <v>2</v>
      </c>
      <c r="Q761" s="5"/>
      <c r="S761">
        <f>Данные!$B61+(COUNTIFS(Данные!$B$2:$B61,Данные!$B61,Данные!F$2:F61,Данные!F61)-(COUNTIFS(Данные!$B$2:$B$75,Данные!$B61,Данные!F$2:F$75,Данные!F61)+1)/2)*$S$700</f>
        <v>5</v>
      </c>
    </row>
    <row r="762" spans="1:19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>
        <f>_xlfn.RANK.AVG(Данные!B62,Данные!$B$2:$B$75,1)</f>
        <v>56.5</v>
      </c>
      <c r="L762" s="5">
        <f>_xlfn.RANK.AVG(Данные!F62,Данные!$F$2:$F$75,1)</f>
        <v>43.5</v>
      </c>
      <c r="M762" s="5"/>
      <c r="N762" s="5"/>
      <c r="O762" s="5">
        <f>Данные!B62+(0)</f>
        <v>4</v>
      </c>
      <c r="P762" s="5">
        <f>Данные!F62</f>
        <v>6</v>
      </c>
      <c r="Q762" s="5"/>
      <c r="S762">
        <f>Данные!$B62+(COUNTIFS(Данные!$B$2:$B62,Данные!$B62,Данные!F$2:F62,Данные!F62)-(COUNTIFS(Данные!$B$2:$B$75,Данные!$B62,Данные!F$2:F$75,Данные!F62)+1)/2)*$S$700</f>
        <v>4.04</v>
      </c>
    </row>
    <row r="763" spans="1:19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>
        <f>_xlfn.RANK.AVG(Данные!B63,Данные!$B$2:$B$75,1)</f>
        <v>56.5</v>
      </c>
      <c r="L763" s="5">
        <f>_xlfn.RANK.AVG(Данные!F63,Данные!$F$2:$F$75,1)</f>
        <v>43.5</v>
      </c>
      <c r="M763" s="5"/>
      <c r="N763" s="5"/>
      <c r="O763" s="5">
        <f>Данные!B63+(0.035)</f>
        <v>4.0350000000000001</v>
      </c>
      <c r="P763" s="5">
        <f>Данные!F63</f>
        <v>6</v>
      </c>
      <c r="Q763" s="5"/>
      <c r="S763">
        <f>Данные!$B63+(COUNTIFS(Данные!$B$2:$B63,Данные!$B63,Данные!F$2:F63,Данные!F63)-(COUNTIFS(Данные!$B$2:$B$75,Данные!$B63,Данные!F$2:F$75,Данные!F63)+1)/2)*$S$700</f>
        <v>4.12</v>
      </c>
    </row>
    <row r="764" spans="1:19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>
        <f>_xlfn.RANK.AVG(Данные!B64,Данные!$B$2:$B$75,1)</f>
        <v>56.5</v>
      </c>
      <c r="L764" s="5">
        <f>_xlfn.RANK.AVG(Данные!F64,Данные!$F$2:$F$75,1)</f>
        <v>25</v>
      </c>
      <c r="M764" s="5"/>
      <c r="N764" s="5"/>
      <c r="O764" s="5">
        <f>Данные!B64+(0.07)</f>
        <v>4.07</v>
      </c>
      <c r="P764" s="5">
        <f>Данные!F64</f>
        <v>5</v>
      </c>
      <c r="Q764" s="5"/>
      <c r="S764">
        <f>Данные!$B64+(COUNTIFS(Данные!$B$2:$B64,Данные!$B64,Данные!F$2:F64,Данные!F64)-(COUNTIFS(Данные!$B$2:$B$75,Данные!$B64,Данные!F$2:F$75,Данные!F64)+1)/2)*$S$700</f>
        <v>4.08</v>
      </c>
    </row>
    <row r="765" spans="1:19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>
        <f>_xlfn.RANK.AVG(Данные!B65,Данные!$B$2:$B$75,1)</f>
        <v>56.5</v>
      </c>
      <c r="L765" s="5">
        <f>_xlfn.RANK.AVG(Данные!F65,Данные!$F$2:$F$75,1)</f>
        <v>43.5</v>
      </c>
      <c r="M765" s="5"/>
      <c r="N765" s="5"/>
      <c r="O765" s="5">
        <f>Данные!B65+(0.07)</f>
        <v>4.07</v>
      </c>
      <c r="P765" s="5">
        <f>Данные!F65</f>
        <v>6</v>
      </c>
      <c r="Q765" s="5"/>
      <c r="S765">
        <f>Данные!$B65+(COUNTIFS(Данные!$B$2:$B65,Данные!$B65,Данные!F$2:F65,Данные!F65)-(COUNTIFS(Данные!$B$2:$B$75,Данные!$B65,Данные!F$2:F$75,Данные!F65)+1)/2)*$S$700</f>
        <v>4.2</v>
      </c>
    </row>
    <row r="766" spans="1:19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>
        <f>_xlfn.RANK.AVG(Данные!B66,Данные!$B$2:$B$75,1)</f>
        <v>56.5</v>
      </c>
      <c r="L766" s="5">
        <f>_xlfn.RANK.AVG(Данные!F66,Данные!$F$2:$F$75,1)</f>
        <v>25</v>
      </c>
      <c r="M766" s="5"/>
      <c r="N766" s="5"/>
      <c r="O766" s="5">
        <f>Данные!B66+(0.105)</f>
        <v>4.1050000000000004</v>
      </c>
      <c r="P766" s="5">
        <f>Данные!F66</f>
        <v>5</v>
      </c>
      <c r="Q766" s="5"/>
      <c r="S766">
        <f>Данные!$B66+(COUNTIFS(Данные!$B$2:$B66,Данные!$B66,Данные!F$2:F66,Данные!F66)-(COUNTIFS(Данные!$B$2:$B$75,Данные!$B66,Данные!F$2:F$75,Данные!F66)+1)/2)*$S$700</f>
        <v>4.16</v>
      </c>
    </row>
    <row r="767" spans="1:19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>
        <f>_xlfn.RANK.AVG(Данные!B67,Данные!$B$2:$B$75,1)</f>
        <v>71.5</v>
      </c>
      <c r="L767" s="5">
        <f>_xlfn.RANK.AVG(Данные!F67,Данные!$F$2:$F$75,1)</f>
        <v>8.5</v>
      </c>
      <c r="M767" s="5"/>
      <c r="N767" s="5"/>
      <c r="O767" s="5">
        <f>Данные!B67+(-0.105)</f>
        <v>4.8949999999999996</v>
      </c>
      <c r="P767" s="5">
        <f>Данные!F67</f>
        <v>3</v>
      </c>
      <c r="Q767" s="5"/>
      <c r="S767">
        <f>Данные!$B67+(COUNTIFS(Данные!$B$2:$B67,Данные!$B67,Данные!F$2:F67,Данные!F67)-(COUNTIFS(Данные!$B$2:$B$75,Данные!$B67,Данные!F$2:F$75,Данные!F67)+1)/2)*$S$700</f>
        <v>5</v>
      </c>
    </row>
    <row r="768" spans="1:19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>
        <f>_xlfn.RANK.AVG(Данные!B68,Данные!$B$2:$B$75,1)</f>
        <v>71.5</v>
      </c>
      <c r="L768" s="5">
        <f>_xlfn.RANK.AVG(Данные!F68,Данные!$F$2:$F$75,1)</f>
        <v>58</v>
      </c>
      <c r="M768" s="5"/>
      <c r="N768" s="5"/>
      <c r="O768" s="5">
        <f>Данные!B68+(-0.105)</f>
        <v>4.8949999999999996</v>
      </c>
      <c r="P768" s="5">
        <f>Данные!F68</f>
        <v>7</v>
      </c>
      <c r="Q768" s="5"/>
      <c r="S768">
        <f>Данные!$B68+(COUNTIFS(Данные!$B$2:$B68,Данные!$B68,Данные!F$2:F68,Данные!F68)-(COUNTIFS(Данные!$B$2:$B$75,Данные!$B68,Данные!F$2:F$75,Данные!F68)+1)/2)*$S$700</f>
        <v>5</v>
      </c>
    </row>
    <row r="769" spans="1:20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>
        <f>_xlfn.RANK.AVG(Данные!B69,Данные!$B$2:$B$75,1)</f>
        <v>56.5</v>
      </c>
      <c r="L769" s="5">
        <f>_xlfn.RANK.AVG(Данные!F69,Данные!$F$2:$F$75,1)</f>
        <v>14</v>
      </c>
      <c r="M769" s="5"/>
      <c r="N769" s="5"/>
      <c r="O769" s="5">
        <f>Данные!B69+(-0.105)</f>
        <v>3.895</v>
      </c>
      <c r="P769" s="5">
        <f>Данные!F69</f>
        <v>4</v>
      </c>
      <c r="Q769" s="5"/>
      <c r="S769">
        <f>Данные!$B69+(COUNTIFS(Данные!$B$2:$B69,Данные!$B69,Данные!F$2:F69,Данные!F69)-(COUNTIFS(Данные!$B$2:$B$75,Данные!$B69,Данные!F$2:F$75,Данные!F69)+1)/2)*$S$700</f>
        <v>3.96</v>
      </c>
    </row>
    <row r="770" spans="1:20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>
        <f>_xlfn.RANK.AVG(Данные!B70,Данные!$B$2:$B$75,1)</f>
        <v>56.5</v>
      </c>
      <c r="L770" s="5">
        <f>_xlfn.RANK.AVG(Данные!F70,Данные!$F$2:$F$75,1)</f>
        <v>14</v>
      </c>
      <c r="M770" s="5"/>
      <c r="N770" s="5"/>
      <c r="O770" s="5">
        <f>Данные!B70+(-0.07)</f>
        <v>3.93</v>
      </c>
      <c r="P770" s="5">
        <f>Данные!F70</f>
        <v>4</v>
      </c>
      <c r="Q770" s="5"/>
      <c r="S770">
        <f>Данные!$B70+(COUNTIFS(Данные!$B$2:$B70,Данные!$B70,Данные!F$2:F70,Данные!F70)-(COUNTIFS(Данные!$B$2:$B$75,Данные!$B70,Данные!F$2:F$75,Данные!F70)+1)/2)*$S$700</f>
        <v>4.04</v>
      </c>
    </row>
    <row r="771" spans="1:20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>
        <f>_xlfn.RANK.AVG(Данные!B71,Данные!$B$2:$B$75,1)</f>
        <v>71.5</v>
      </c>
      <c r="L771" s="5">
        <f>_xlfn.RANK.AVG(Данные!F71,Данные!$F$2:$F$75,1)</f>
        <v>43.5</v>
      </c>
      <c r="M771" s="5"/>
      <c r="N771" s="5"/>
      <c r="O771" s="5">
        <f>Данные!B71+(-0.105)</f>
        <v>4.8949999999999996</v>
      </c>
      <c r="P771" s="5">
        <f>Данные!F71</f>
        <v>6</v>
      </c>
      <c r="Q771" s="5"/>
      <c r="S771">
        <f>Данные!$B71+(COUNTIFS(Данные!$B$2:$B71,Данные!$B71,Данные!F$2:F71,Данные!F71)-(COUNTIFS(Данные!$B$2:$B$75,Данные!$B71,Данные!F$2:F$75,Данные!F71)+1)/2)*$S$700</f>
        <v>5</v>
      </c>
    </row>
    <row r="772" spans="1:20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>
        <f>_xlfn.RANK.AVG(Данные!B72,Данные!$B$2:$B$75,1)</f>
        <v>71.5</v>
      </c>
      <c r="L772" s="5">
        <f>_xlfn.RANK.AVG(Данные!F72,Данные!$F$2:$F$75,1)</f>
        <v>25</v>
      </c>
      <c r="M772" s="5"/>
      <c r="N772" s="5"/>
      <c r="O772" s="5">
        <f>Данные!B72+(-0.105)</f>
        <v>4.8949999999999996</v>
      </c>
      <c r="P772" s="5">
        <f>Данные!F72</f>
        <v>5</v>
      </c>
      <c r="Q772" s="5"/>
      <c r="S772">
        <f>Данные!$B72+(COUNTIFS(Данные!$B$2:$B72,Данные!$B72,Данные!F$2:F72,Данные!F72)-(COUNTIFS(Данные!$B$2:$B$75,Данные!$B72,Данные!F$2:F$75,Данные!F72)+1)/2)*$S$700</f>
        <v>4.96</v>
      </c>
    </row>
    <row r="773" spans="1:20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>
        <f>_xlfn.RANK.AVG(Данные!B73,Данные!$B$2:$B$75,1)</f>
        <v>71.5</v>
      </c>
      <c r="L773" s="5">
        <f>_xlfn.RANK.AVG(Данные!F73,Данные!$F$2:$F$75,1)</f>
        <v>25</v>
      </c>
      <c r="M773" s="5"/>
      <c r="N773" s="5"/>
      <c r="O773" s="5">
        <f>Данные!B73+(-0.07)</f>
        <v>4.93</v>
      </c>
      <c r="P773" s="5">
        <f>Данные!F73</f>
        <v>5</v>
      </c>
      <c r="Q773" s="5"/>
      <c r="S773">
        <f>Данные!$B73+(COUNTIFS(Данные!$B$2:$B73,Данные!$B73,Данные!F$2:F73,Данные!F73)-(COUNTIFS(Данные!$B$2:$B$75,Данные!$B73,Данные!F$2:F$75,Данные!F73)+1)/2)*$S$700</f>
        <v>5.04</v>
      </c>
    </row>
    <row r="774" spans="1:20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>
        <f>_xlfn.RANK.AVG(Данные!B74,Данные!$B$2:$B$75,1)</f>
        <v>56.5</v>
      </c>
      <c r="L774" s="5">
        <f>_xlfn.RANK.AVG(Данные!F74,Данные!$F$2:$F$75,1)</f>
        <v>25</v>
      </c>
      <c r="M774" s="5"/>
      <c r="N774" s="5"/>
      <c r="O774" s="5">
        <f>Данные!B74+(-0.105)</f>
        <v>3.895</v>
      </c>
      <c r="P774" s="5">
        <f>Данные!F74</f>
        <v>5</v>
      </c>
      <c r="Q774" s="5"/>
      <c r="S774">
        <f>Данные!$B74+(COUNTIFS(Данные!$B$2:$B74,Данные!$B74,Данные!F$2:F74,Данные!F74)-(COUNTIFS(Данные!$B$2:$B$75,Данные!$B74,Данные!F$2:F$75,Данные!F74)+1)/2)*$S$700</f>
        <v>4.24</v>
      </c>
    </row>
    <row r="775" spans="1:20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>
        <f>_xlfn.RANK.AVG(Данные!B75,Данные!$B$2:$B$75,1)</f>
        <v>56.5</v>
      </c>
      <c r="L775" s="5">
        <f>_xlfn.RANK.AVG(Данные!F75,Данные!$F$2:$F$75,1)</f>
        <v>25</v>
      </c>
      <c r="M775" s="5"/>
      <c r="N775" s="5"/>
      <c r="O775" s="5">
        <f>Данные!B75+(-0.07)</f>
        <v>3.93</v>
      </c>
      <c r="P775" s="5">
        <f>Данные!F75</f>
        <v>5</v>
      </c>
      <c r="Q775" s="5"/>
      <c r="S775">
        <f>Данные!$B75+(COUNTIFS(Данные!$B$2:$B75,Данные!$B75,Данные!F$2:F75,Данные!F75)-(COUNTIFS(Данные!$B$2:$B$75,Данные!$B75,Данные!F$2:F$75,Данные!F75)+1)/2)*$S$700</f>
        <v>4.32</v>
      </c>
    </row>
    <row r="776" spans="1:20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</row>
    <row r="777" spans="1:20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</row>
    <row r="778" spans="1:20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</row>
    <row r="779" spans="1:20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</row>
    <row r="780" spans="1:20" x14ac:dyDescent="0.25">
      <c r="A780" s="5"/>
      <c r="B780" s="5"/>
      <c r="C780" s="5"/>
      <c r="D780" s="5" t="s">
        <v>51</v>
      </c>
      <c r="E780" s="5">
        <v>1</v>
      </c>
      <c r="F780" s="5">
        <v>2</v>
      </c>
      <c r="G780" s="5">
        <v>3</v>
      </c>
      <c r="H780" s="5">
        <v>4</v>
      </c>
      <c r="I780" s="5">
        <v>5</v>
      </c>
      <c r="J780" s="5"/>
      <c r="K780" s="5" t="s">
        <v>52</v>
      </c>
      <c r="L780" s="5" t="s">
        <v>53</v>
      </c>
      <c r="M780" s="5" t="s">
        <v>54</v>
      </c>
      <c r="N780" s="5" t="s">
        <v>55</v>
      </c>
      <c r="O780" s="5"/>
      <c r="P780" s="5"/>
      <c r="Q780" s="5"/>
      <c r="S780" t="s">
        <v>56</v>
      </c>
      <c r="T780" t="s">
        <v>57</v>
      </c>
    </row>
    <row r="781" spans="1:20" x14ac:dyDescent="0.25">
      <c r="A781" s="5"/>
      <c r="B781" s="5"/>
      <c r="C781" s="5"/>
      <c r="D781" s="5" t="s">
        <v>58</v>
      </c>
      <c r="E781" s="5">
        <f>COUNT(E702:E708)</f>
        <v>7</v>
      </c>
      <c r="F781" s="5">
        <f>COUNT(F702:F713)</f>
        <v>12</v>
      </c>
      <c r="G781" s="5">
        <f>COUNT(G702:G726)</f>
        <v>25</v>
      </c>
      <c r="H781" s="5">
        <f>COUNT(H702:H725)</f>
        <v>24</v>
      </c>
      <c r="I781" s="5">
        <f>COUNT(I702:I707)</f>
        <v>6</v>
      </c>
      <c r="J781" s="5"/>
      <c r="K781" s="5">
        <f>1+0*4/59</f>
        <v>1</v>
      </c>
      <c r="L781" s="5">
        <f t="shared" ref="L781:L812" si="39">$B$705+$B$706*K781</f>
        <v>6.3325015595757952</v>
      </c>
      <c r="M781" s="5">
        <f>L781-$B$713*$B$708*SQRT(1/$B$702+(K781-AVERAGE(Данные!$B$2:$B$75))^2/DEVSQ(Данные!$B$2:$B$75))</f>
        <v>5.4581053282546463</v>
      </c>
      <c r="N781" s="5">
        <f>L781+$B$713*$B$708*SQRT(1/$B$702+(K781-AVERAGE(Данные!$B$2:$B$75))^2/DEVSQ(Данные!$B$2:$B$75))</f>
        <v>7.206897790896944</v>
      </c>
      <c r="O781" s="5"/>
      <c r="P781" s="5"/>
      <c r="Q781" s="5"/>
      <c r="S781">
        <f t="shared" ref="S781:S812" si="40">K781</f>
        <v>1</v>
      </c>
      <c r="T781">
        <f t="shared" ref="T781:T812" si="41">M781</f>
        <v>5.4581053282546463</v>
      </c>
    </row>
    <row r="782" spans="1:20" x14ac:dyDescent="0.25">
      <c r="A782" s="5"/>
      <c r="B782" s="5"/>
      <c r="C782" s="5"/>
      <c r="D782" s="5" t="s">
        <v>59</v>
      </c>
      <c r="E782" s="9">
        <f>AVERAGE(E702:E708)</f>
        <v>6.2857142857142856</v>
      </c>
      <c r="F782" s="9">
        <f>AVERAGE(F702:F713)</f>
        <v>5.916666666666667</v>
      </c>
      <c r="G782" s="9">
        <f>AVERAGE(G702:G726)</f>
        <v>5.68</v>
      </c>
      <c r="H782" s="9">
        <f>AVERAGE(H702:H725)</f>
        <v>5.375</v>
      </c>
      <c r="I782" s="9">
        <f>AVERAGE(I702:I707)</f>
        <v>4.666666666666667</v>
      </c>
      <c r="J782" s="5"/>
      <c r="K782" s="5">
        <f>1+1*4/59</f>
        <v>1.0677966101694916</v>
      </c>
      <c r="L782" s="5">
        <f t="shared" si="39"/>
        <v>6.3090709157617599</v>
      </c>
      <c r="M782" s="5">
        <f>L782-$B$713*$B$708*SQRT(1/$B$702+(K782-AVERAGE(Данные!$B$2:$B$75))^2/DEVSQ(Данные!$B$2:$B$75))</f>
        <v>5.4566917556128534</v>
      </c>
      <c r="N782" s="5">
        <f>L782+$B$713*$B$708*SQRT(1/$B$702+(K782-AVERAGE(Данные!$B$2:$B$75))^2/DEVSQ(Данные!$B$2:$B$75))</f>
        <v>7.1614500759106665</v>
      </c>
      <c r="O782" s="5"/>
      <c r="P782" s="5"/>
      <c r="Q782" s="5"/>
      <c r="S782">
        <f t="shared" si="40"/>
        <v>1.0677966101694916</v>
      </c>
      <c r="T782">
        <f t="shared" si="41"/>
        <v>5.4566917556128534</v>
      </c>
    </row>
    <row r="783" spans="1:20" x14ac:dyDescent="0.25">
      <c r="A783" s="5"/>
      <c r="B783" s="5"/>
      <c r="C783" s="5"/>
      <c r="D783" s="5" t="s">
        <v>60</v>
      </c>
      <c r="E783" s="9">
        <f>_xlfn.QUARTILE.INC(E702:E708,1)</f>
        <v>6</v>
      </c>
      <c r="F783" s="9">
        <f>_xlfn.QUARTILE.INC(F702:F713,1)</f>
        <v>5</v>
      </c>
      <c r="G783" s="9">
        <f>_xlfn.QUARTILE.INC(G702:G726,1)</f>
        <v>5</v>
      </c>
      <c r="H783" s="9">
        <f>_xlfn.QUARTILE.INC(H702:H725,1)</f>
        <v>5</v>
      </c>
      <c r="I783" s="9">
        <f>_xlfn.QUARTILE.INC(I702:I707,1)</f>
        <v>3.5</v>
      </c>
      <c r="J783" s="5"/>
      <c r="K783" s="5">
        <f>1+2*4/59</f>
        <v>1.1355932203389831</v>
      </c>
      <c r="L783" s="5">
        <f t="shared" si="39"/>
        <v>6.2856402719477256</v>
      </c>
      <c r="M783" s="5">
        <f>L783-$B$713*$B$708*SQRT(1/$B$702+(K783-AVERAGE(Данные!$B$2:$B$75))^2/DEVSQ(Данные!$B$2:$B$75))</f>
        <v>5.4551233439213496</v>
      </c>
      <c r="N783" s="5">
        <f>L783+$B$713*$B$708*SQRT(1/$B$702+(K783-AVERAGE(Данные!$B$2:$B$75))^2/DEVSQ(Данные!$B$2:$B$75))</f>
        <v>7.1161571999741016</v>
      </c>
      <c r="O783" s="5"/>
      <c r="P783" s="5"/>
      <c r="Q783" s="5"/>
      <c r="S783">
        <f t="shared" si="40"/>
        <v>1.1355932203389831</v>
      </c>
      <c r="T783">
        <f t="shared" si="41"/>
        <v>5.4551233439213496</v>
      </c>
    </row>
    <row r="784" spans="1:20" x14ac:dyDescent="0.25">
      <c r="A784" s="5"/>
      <c r="B784" s="5"/>
      <c r="C784" s="5"/>
      <c r="D784" s="5" t="s">
        <v>61</v>
      </c>
      <c r="E784" s="9">
        <f>MEDIAN(E702:E708)</f>
        <v>7</v>
      </c>
      <c r="F784" s="9">
        <f>MEDIAN(F702:F713)</f>
        <v>6</v>
      </c>
      <c r="G784" s="9">
        <f>MEDIAN(G702:G726)</f>
        <v>6</v>
      </c>
      <c r="H784" s="9">
        <f>MEDIAN(H702:H725)</f>
        <v>5</v>
      </c>
      <c r="I784" s="9">
        <f>MEDIAN(I702:I707)</f>
        <v>5</v>
      </c>
      <c r="J784" s="5"/>
      <c r="K784" s="5">
        <f>1+3*4/59</f>
        <v>1.2033898305084745</v>
      </c>
      <c r="L784" s="5">
        <f t="shared" si="39"/>
        <v>6.2622096281336903</v>
      </c>
      <c r="M784" s="5">
        <f>L784-$B$713*$B$708*SQRT(1/$B$702+(K784-AVERAGE(Данные!$B$2:$B$75))^2/DEVSQ(Данные!$B$2:$B$75))</f>
        <v>5.4533875373156482</v>
      </c>
      <c r="N784" s="5">
        <f>L784+$B$713*$B$708*SQRT(1/$B$702+(K784-AVERAGE(Данные!$B$2:$B$75))^2/DEVSQ(Данные!$B$2:$B$75))</f>
        <v>7.0710317189517324</v>
      </c>
      <c r="O784" s="5"/>
      <c r="P784" s="5"/>
      <c r="Q784" s="5"/>
      <c r="S784">
        <f t="shared" si="40"/>
        <v>1.2033898305084745</v>
      </c>
      <c r="T784">
        <f t="shared" si="41"/>
        <v>5.4533875373156482</v>
      </c>
    </row>
    <row r="785" spans="1:22" x14ac:dyDescent="0.25">
      <c r="A785" s="5"/>
      <c r="B785" s="5"/>
      <c r="C785" s="5"/>
      <c r="D785" s="5" t="s">
        <v>62</v>
      </c>
      <c r="E785" s="9">
        <f>_xlfn.QUARTILE.INC(E702:E708,3)</f>
        <v>7</v>
      </c>
      <c r="F785" s="9">
        <f>_xlfn.QUARTILE.INC(F702:F713,3)</f>
        <v>7</v>
      </c>
      <c r="G785" s="9">
        <f>_xlfn.QUARTILE.INC(G702:G726,3)</f>
        <v>7</v>
      </c>
      <c r="H785" s="9">
        <f>_xlfn.QUARTILE.INC(H702:H725,3)</f>
        <v>6</v>
      </c>
      <c r="I785" s="9">
        <f>_xlfn.QUARTILE.INC(I702:I707,3)</f>
        <v>5.75</v>
      </c>
      <c r="J785" s="5"/>
      <c r="K785" s="5">
        <f>1+4*4/59</f>
        <v>1.271186440677966</v>
      </c>
      <c r="L785" s="5">
        <f t="shared" si="39"/>
        <v>6.2387789843196551</v>
      </c>
      <c r="M785" s="5">
        <f>L785-$B$713*$B$708*SQRT(1/$B$702+(K785-AVERAGE(Данные!$B$2:$B$75))^2/DEVSQ(Данные!$B$2:$B$75))</f>
        <v>5.4514704976215533</v>
      </c>
      <c r="N785" s="5">
        <f>L785+$B$713*$B$708*SQRT(1/$B$702+(K785-AVERAGE(Данные!$B$2:$B$75))^2/DEVSQ(Данные!$B$2:$B$75))</f>
        <v>7.0260874710177568</v>
      </c>
      <c r="O785" s="5"/>
      <c r="P785" s="5"/>
      <c r="Q785" s="5"/>
      <c r="S785">
        <f t="shared" si="40"/>
        <v>1.271186440677966</v>
      </c>
      <c r="T785">
        <f t="shared" si="41"/>
        <v>5.4514704976215533</v>
      </c>
    </row>
    <row r="786" spans="1:22" x14ac:dyDescent="0.25">
      <c r="A786" s="5"/>
      <c r="B786" s="5"/>
      <c r="C786" s="5"/>
      <c r="D786" s="5" t="s">
        <v>63</v>
      </c>
      <c r="E786" s="9">
        <f>E785-E783</f>
        <v>1</v>
      </c>
      <c r="F786" s="9">
        <f>F785-F783</f>
        <v>2</v>
      </c>
      <c r="G786" s="9">
        <f>G785-G783</f>
        <v>2</v>
      </c>
      <c r="H786" s="9">
        <f>H785-H783</f>
        <v>1</v>
      </c>
      <c r="I786" s="9">
        <f>I785-I783</f>
        <v>2.25</v>
      </c>
      <c r="J786" s="5"/>
      <c r="K786" s="5">
        <f>1+5*4/59</f>
        <v>1.3389830508474576</v>
      </c>
      <c r="L786" s="5">
        <f t="shared" si="39"/>
        <v>6.2153483405056198</v>
      </c>
      <c r="M786" s="5">
        <f>L786-$B$713*$B$708*SQRT(1/$B$702+(K786-AVERAGE(Данные!$B$2:$B$75))^2/DEVSQ(Данные!$B$2:$B$75))</f>
        <v>5.4493569543705487</v>
      </c>
      <c r="N786" s="5">
        <f>L786+$B$713*$B$708*SQRT(1/$B$702+(K786-AVERAGE(Данные!$B$2:$B$75))^2/DEVSQ(Данные!$B$2:$B$75))</f>
        <v>6.9813397266406909</v>
      </c>
      <c r="O786" s="5"/>
      <c r="P786" s="5"/>
      <c r="Q786" s="5"/>
      <c r="S786">
        <f t="shared" si="40"/>
        <v>1.3389830508474576</v>
      </c>
      <c r="T786">
        <f t="shared" si="41"/>
        <v>5.4493569543705487</v>
      </c>
    </row>
    <row r="787" spans="1:22" x14ac:dyDescent="0.25">
      <c r="A787" s="5"/>
      <c r="B787" s="5"/>
      <c r="C787" s="5"/>
      <c r="D787" s="5" t="s">
        <v>64</v>
      </c>
      <c r="E787" s="9">
        <f>E783-1.5*E786</f>
        <v>4.5</v>
      </c>
      <c r="F787" s="9">
        <f>F783-1.5*F786</f>
        <v>2</v>
      </c>
      <c r="G787" s="9">
        <f>G783-1.5*G786</f>
        <v>2</v>
      </c>
      <c r="H787" s="9">
        <f>H783-1.5*H786</f>
        <v>3.5</v>
      </c>
      <c r="I787" s="9">
        <f>I783-1.5*I786</f>
        <v>0.125</v>
      </c>
      <c r="J787" s="5"/>
      <c r="K787" s="5">
        <f>1+6*4/59</f>
        <v>1.4067796610169492</v>
      </c>
      <c r="L787" s="5">
        <f t="shared" si="39"/>
        <v>6.1919176966915845</v>
      </c>
      <c r="M787" s="5">
        <f>L787-$B$713*$B$708*SQRT(1/$B$702+(K787-AVERAGE(Данные!$B$2:$B$75))^2/DEVSQ(Данные!$B$2:$B$75))</f>
        <v>5.4470300368299869</v>
      </c>
      <c r="N787" s="5">
        <f>L787+$B$713*$B$708*SQRT(1/$B$702+(K787-AVERAGE(Данные!$B$2:$B$75))^2/DEVSQ(Данные!$B$2:$B$75))</f>
        <v>6.9368053565531822</v>
      </c>
      <c r="O787" s="5"/>
      <c r="P787" s="5"/>
      <c r="Q787" s="5"/>
      <c r="S787">
        <f t="shared" si="40"/>
        <v>1.4067796610169492</v>
      </c>
      <c r="T787">
        <f t="shared" si="41"/>
        <v>5.4470300368299869</v>
      </c>
    </row>
    <row r="788" spans="1:22" x14ac:dyDescent="0.25">
      <c r="A788" s="5"/>
      <c r="B788" s="5"/>
      <c r="C788" s="5"/>
      <c r="D788" s="5" t="s">
        <v>65</v>
      </c>
      <c r="E788" s="9">
        <f>E785+1.5*E786</f>
        <v>8.5</v>
      </c>
      <c r="F788" s="9">
        <f>F785+1.5*F786</f>
        <v>10</v>
      </c>
      <c r="G788" s="9">
        <f>G785+1.5*G786</f>
        <v>10</v>
      </c>
      <c r="H788" s="9">
        <f>H785+1.5*H786</f>
        <v>7.5</v>
      </c>
      <c r="I788" s="9">
        <f>I785+1.5*I786</f>
        <v>9.125</v>
      </c>
      <c r="J788" s="5"/>
      <c r="K788" s="5">
        <f>1+7*4/59</f>
        <v>1.4745762711864407</v>
      </c>
      <c r="L788" s="5">
        <f t="shared" si="39"/>
        <v>6.1684870528775493</v>
      </c>
      <c r="M788" s="5">
        <f>L788-$B$713*$B$708*SQRT(1/$B$702+(K788-AVERAGE(Данные!$B$2:$B$75))^2/DEVSQ(Данные!$B$2:$B$75))</f>
        <v>5.4444710863618013</v>
      </c>
      <c r="N788" s="5">
        <f>L788+$B$713*$B$708*SQRT(1/$B$702+(K788-AVERAGE(Данные!$B$2:$B$75))^2/DEVSQ(Данные!$B$2:$B$75))</f>
        <v>6.8925030193932972</v>
      </c>
      <c r="O788" s="5"/>
      <c r="P788" s="5"/>
      <c r="Q788" s="5"/>
      <c r="S788">
        <f t="shared" si="40"/>
        <v>1.4745762711864407</v>
      </c>
      <c r="T788">
        <f t="shared" si="41"/>
        <v>5.4444710863618013</v>
      </c>
    </row>
    <row r="789" spans="1:22" x14ac:dyDescent="0.25">
      <c r="A789" s="5"/>
      <c r="B789" s="5"/>
      <c r="C789" s="5"/>
      <c r="D789" s="5" t="s">
        <v>66</v>
      </c>
      <c r="E789" s="9">
        <f>_xlfn.MINIFS(E702:E708,E702:E708,"&gt;="&amp;E787)</f>
        <v>6</v>
      </c>
      <c r="F789" s="9">
        <f>_xlfn.MINIFS(F702:F713,F702:F713,"&gt;="&amp;F787)</f>
        <v>3</v>
      </c>
      <c r="G789" s="9">
        <f>_xlfn.MINIFS(G702:G726,G702:G726,"&gt;="&amp;G787)</f>
        <v>2</v>
      </c>
      <c r="H789" s="9">
        <f>_xlfn.MINIFS(H702:H725,H702:H725,"&gt;="&amp;H787)</f>
        <v>4</v>
      </c>
      <c r="I789" s="9">
        <f>_xlfn.MINIFS(I702:I707,I702:I707,"&gt;="&amp;I787)</f>
        <v>2</v>
      </c>
      <c r="J789" s="5"/>
      <c r="K789" s="5">
        <f>1+8*4/59</f>
        <v>1.5423728813559321</v>
      </c>
      <c r="L789" s="5">
        <f t="shared" si="39"/>
        <v>6.145056409063514</v>
      </c>
      <c r="M789" s="5">
        <f>L789-$B$713*$B$708*SQRT(1/$B$702+(K789-AVERAGE(Данные!$B$2:$B$75))^2/DEVSQ(Данные!$B$2:$B$75))</f>
        <v>5.441659447526102</v>
      </c>
      <c r="N789" s="5">
        <f>L789+$B$713*$B$708*SQRT(1/$B$702+(K789-AVERAGE(Данные!$B$2:$B$75))^2/DEVSQ(Данные!$B$2:$B$75))</f>
        <v>6.8484533706009261</v>
      </c>
      <c r="O789" s="5"/>
      <c r="P789" s="5"/>
      <c r="Q789" s="5"/>
      <c r="S789">
        <f t="shared" si="40"/>
        <v>1.5423728813559321</v>
      </c>
      <c r="T789">
        <f t="shared" si="41"/>
        <v>5.441659447526102</v>
      </c>
    </row>
    <row r="790" spans="1:22" x14ac:dyDescent="0.25">
      <c r="A790" s="5"/>
      <c r="B790" s="5"/>
      <c r="C790" s="5"/>
      <c r="D790" s="5" t="s">
        <v>67</v>
      </c>
      <c r="E790" s="9">
        <f>_xlfn.MAXIFS(E702:E708,E702:E708,"&lt;="&amp;E788)</f>
        <v>8</v>
      </c>
      <c r="F790" s="9">
        <f>_xlfn.MAXIFS(F702:F713,F702:F713,"&lt;="&amp;F788)</f>
        <v>8</v>
      </c>
      <c r="G790" s="9">
        <f>_xlfn.MAXIFS(G702:G726,G702:G726,"&lt;="&amp;G788)</f>
        <v>9</v>
      </c>
      <c r="H790" s="9">
        <f>_xlfn.MAXIFS(H702:H725,H702:H725,"&lt;="&amp;H788)</f>
        <v>7</v>
      </c>
      <c r="I790" s="9">
        <f>_xlfn.MAXIFS(I702:I707,I702:I707,"&lt;="&amp;I788)</f>
        <v>7</v>
      </c>
      <c r="J790" s="5"/>
      <c r="K790" s="5">
        <f>1+9*4/59</f>
        <v>1.6101694915254239</v>
      </c>
      <c r="L790" s="5">
        <f t="shared" si="39"/>
        <v>6.1216257652494797</v>
      </c>
      <c r="M790" s="5">
        <f>L790-$B$713*$B$708*SQRT(1/$B$702+(K790-AVERAGE(Данные!$B$2:$B$75))^2/DEVSQ(Данные!$B$2:$B$75))</f>
        <v>5.4385722365966505</v>
      </c>
      <c r="N790" s="5">
        <f>L790+$B$713*$B$708*SQRT(1/$B$702+(K790-AVERAGE(Данные!$B$2:$B$75))^2/DEVSQ(Данные!$B$2:$B$75))</f>
        <v>6.8046792939023089</v>
      </c>
      <c r="O790" s="5"/>
      <c r="P790" s="5"/>
      <c r="Q790" s="5"/>
      <c r="S790">
        <f t="shared" si="40"/>
        <v>1.6101694915254239</v>
      </c>
      <c r="T790">
        <f t="shared" si="41"/>
        <v>5.4385722365966505</v>
      </c>
    </row>
    <row r="791" spans="1:22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>
        <f>1+10*4/59</f>
        <v>1.6779661016949152</v>
      </c>
      <c r="L791" s="5">
        <f t="shared" si="39"/>
        <v>6.0981951214354444</v>
      </c>
      <c r="M791" s="5">
        <f>L791-$B$713*$B$708*SQRT(1/$B$702+(K791-AVERAGE(Данные!$B$2:$B$75))^2/DEVSQ(Данные!$B$2:$B$75))</f>
        <v>5.4351840866217049</v>
      </c>
      <c r="N791" s="5">
        <f>L791+$B$713*$B$708*SQRT(1/$B$702+(K791-AVERAGE(Данные!$B$2:$B$75))^2/DEVSQ(Данные!$B$2:$B$75))</f>
        <v>6.7612061562491839</v>
      </c>
      <c r="O791" s="5"/>
      <c r="P791" s="5"/>
      <c r="Q791" s="5"/>
      <c r="S791">
        <f t="shared" si="40"/>
        <v>1.6779661016949152</v>
      </c>
      <c r="T791">
        <f t="shared" si="41"/>
        <v>5.4351840866217049</v>
      </c>
    </row>
    <row r="792" spans="1:22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>
        <f>1+11*4/59</f>
        <v>1.7457627118644068</v>
      </c>
      <c r="L792" s="5">
        <f t="shared" si="39"/>
        <v>6.0747644776214091</v>
      </c>
      <c r="M792" s="5">
        <f>L792-$B$713*$B$708*SQRT(1/$B$702+(K792-AVERAGE(Данные!$B$2:$B$75))^2/DEVSQ(Данные!$B$2:$B$75))</f>
        <v>5.4314668689369245</v>
      </c>
      <c r="N792" s="5">
        <f>L792+$B$713*$B$708*SQRT(1/$B$702+(K792-AVERAGE(Данные!$B$2:$B$75))^2/DEVSQ(Данные!$B$2:$B$75))</f>
        <v>6.7180620863058937</v>
      </c>
      <c r="O792" s="5"/>
      <c r="P792" s="5"/>
      <c r="Q792" s="5"/>
      <c r="S792">
        <f t="shared" si="40"/>
        <v>1.7457627118644068</v>
      </c>
      <c r="T792">
        <f t="shared" si="41"/>
        <v>5.4314668689369245</v>
      </c>
    </row>
    <row r="793" spans="1:22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>
        <f>1+12*4/59</f>
        <v>1.8135593220338984</v>
      </c>
      <c r="L793" s="5">
        <f t="shared" si="39"/>
        <v>6.0513338338073739</v>
      </c>
      <c r="M793" s="5">
        <f>L793-$B$713*$B$708*SQRT(1/$B$702+(K793-AVERAGE(Данные!$B$2:$B$75))^2/DEVSQ(Данные!$B$2:$B$75))</f>
        <v>5.4273893922356482</v>
      </c>
      <c r="N793" s="5">
        <f>L793+$B$713*$B$708*SQRT(1/$B$702+(K793-AVERAGE(Данные!$B$2:$B$75))^2/DEVSQ(Данные!$B$2:$B$75))</f>
        <v>6.6752782753790996</v>
      </c>
      <c r="O793" s="5"/>
      <c r="P793" s="5"/>
      <c r="Q793" s="5"/>
      <c r="S793">
        <f t="shared" si="40"/>
        <v>1.8135593220338984</v>
      </c>
      <c r="T793">
        <f t="shared" si="41"/>
        <v>5.4273893922356482</v>
      </c>
    </row>
    <row r="794" spans="1:22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>
        <f>1+13*4/59</f>
        <v>1.8813559322033897</v>
      </c>
      <c r="L794" s="5">
        <f t="shared" si="39"/>
        <v>6.0279031899933386</v>
      </c>
      <c r="M794" s="5">
        <f>L794-$B$713*$B$708*SQRT(1/$B$702+(K794-AVERAGE(Данные!$B$2:$B$75))^2/DEVSQ(Данные!$B$2:$B$75))</f>
        <v>5.4229170820767889</v>
      </c>
      <c r="N794" s="5">
        <f>L794+$B$713*$B$708*SQRT(1/$B$702+(K794-AVERAGE(Данные!$B$2:$B$75))^2/DEVSQ(Данные!$B$2:$B$75))</f>
        <v>6.6328892979098883</v>
      </c>
      <c r="O794" s="5"/>
      <c r="P794" s="5"/>
      <c r="Q794" s="5"/>
      <c r="S794">
        <f t="shared" si="40"/>
        <v>1.8813559322033897</v>
      </c>
      <c r="T794">
        <f t="shared" si="41"/>
        <v>5.4229170820767889</v>
      </c>
    </row>
    <row r="795" spans="1:22" x14ac:dyDescent="0.25">
      <c r="A795" s="5"/>
      <c r="B795" s="5" t="str">
        <f>Спирман_графики!D103&amp;CHAR(10)&amp;Спирман_графики!B105</f>
        <v>ТК1 в зависимости от Л1
ρ = −0,253; p = 0,0294; n = 74</v>
      </c>
      <c r="C795" s="5"/>
      <c r="D795" s="5"/>
      <c r="E795" s="5"/>
      <c r="F795" s="5"/>
      <c r="G795" s="5"/>
      <c r="H795" s="5"/>
      <c r="I795" s="5"/>
      <c r="J795" s="5"/>
      <c r="K795" s="5">
        <f>1+14*4/59</f>
        <v>1.9491525423728815</v>
      </c>
      <c r="L795" s="5">
        <f t="shared" si="39"/>
        <v>6.0044725461793034</v>
      </c>
      <c r="M795" s="5">
        <f>L795-$B$713*$B$708*SQRT(1/$B$702+(K795-AVERAGE(Данные!$B$2:$B$75))^2/DEVSQ(Данные!$B$2:$B$75))</f>
        <v>5.4180116462460983</v>
      </c>
      <c r="N795" s="5">
        <f>L795+$B$713*$B$708*SQRT(1/$B$702+(K795-AVERAGE(Данные!$B$2:$B$75))^2/DEVSQ(Данные!$B$2:$B$75))</f>
        <v>6.5909334461125084</v>
      </c>
      <c r="O795" s="5"/>
      <c r="P795" s="5"/>
      <c r="Q795" s="5"/>
      <c r="S795">
        <f t="shared" si="40"/>
        <v>1.9491525423728815</v>
      </c>
      <c r="T795">
        <f t="shared" si="41"/>
        <v>5.4180116462460983</v>
      </c>
    </row>
    <row r="796" spans="1:22" x14ac:dyDescent="0.25">
      <c r="A796" s="5"/>
      <c r="B796" s="5" t="str">
        <f>Регрессия_графики!D103&amp;CHAR(10)&amp;Регрессия_графики!B105</f>
        <v>Линейная регрессия ТК1 по Л1
ŷ = 6,678 − 0,346x; R² = 0,047; p = 0,0633; n = 74</v>
      </c>
      <c r="C796" s="5"/>
      <c r="D796" s="5"/>
      <c r="E796" s="5"/>
      <c r="F796" s="5"/>
      <c r="G796" s="5"/>
      <c r="H796" s="5"/>
      <c r="I796" s="5"/>
      <c r="J796" s="5"/>
      <c r="K796" s="5">
        <f>1+15*4/59</f>
        <v>2.0169491525423728</v>
      </c>
      <c r="L796" s="5">
        <f t="shared" si="39"/>
        <v>5.9810419023652681</v>
      </c>
      <c r="M796" s="5">
        <f>L796-$B$713*$B$708*SQRT(1/$B$702+(K796-AVERAGE(Данные!$B$2:$B$75))^2/DEVSQ(Данные!$B$2:$B$75))</f>
        <v>5.4126307348961555</v>
      </c>
      <c r="N796" s="5">
        <f>L796+$B$713*$B$708*SQRT(1/$B$702+(K796-AVERAGE(Данные!$B$2:$B$75))^2/DEVSQ(Данные!$B$2:$B$75))</f>
        <v>6.5494530698343807</v>
      </c>
      <c r="O796" s="5"/>
      <c r="P796" s="5"/>
      <c r="Q796" s="5"/>
      <c r="S796">
        <f t="shared" si="40"/>
        <v>2.0169491525423728</v>
      </c>
      <c r="T796">
        <f t="shared" si="41"/>
        <v>5.4126307348961555</v>
      </c>
    </row>
    <row r="797" spans="1:22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>
        <f>1+16*4/59</f>
        <v>2.0847457627118642</v>
      </c>
      <c r="L797" s="5">
        <f t="shared" si="39"/>
        <v>5.9576112585512337</v>
      </c>
      <c r="M797" s="5">
        <f>L797-$B$713*$B$708*SQRT(1/$B$702+(K797-AVERAGE(Данные!$B$2:$B$75))^2/DEVSQ(Данные!$B$2:$B$75))</f>
        <v>5.4067276091011696</v>
      </c>
      <c r="N797" s="5">
        <f>L797+$B$713*$B$708*SQRT(1/$B$702+(K797-AVERAGE(Данные!$B$2:$B$75))^2/DEVSQ(Данные!$B$2:$B$75))</f>
        <v>6.5084949080012979</v>
      </c>
      <c r="O797" s="5"/>
      <c r="P797" s="5"/>
      <c r="Q797" s="5"/>
      <c r="S797">
        <f t="shared" si="40"/>
        <v>2.0847457627118642</v>
      </c>
      <c r="T797">
        <f t="shared" si="41"/>
        <v>5.4067276091011696</v>
      </c>
    </row>
    <row r="798" spans="1:22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>
        <f>1+17*4/59</f>
        <v>2.152542372881356</v>
      </c>
      <c r="L798" s="5">
        <f t="shared" si="39"/>
        <v>5.9341806147371985</v>
      </c>
      <c r="M798" s="5">
        <f>L798-$B$713*$B$708*SQRT(1/$B$702+(K798-AVERAGE(Данные!$B$2:$B$75))^2/DEVSQ(Данные!$B$2:$B$75))</f>
        <v>5.4002508375811296</v>
      </c>
      <c r="N798" s="5">
        <f>L798+$B$713*$B$708*SQRT(1/$B$702+(K798-AVERAGE(Данные!$B$2:$B$75))^2/DEVSQ(Данные!$B$2:$B$75))</f>
        <v>6.4681103918932674</v>
      </c>
      <c r="O798" s="5"/>
      <c r="P798" s="5"/>
      <c r="Q798" s="5"/>
      <c r="S798">
        <f t="shared" si="40"/>
        <v>2.152542372881356</v>
      </c>
      <c r="T798">
        <f t="shared" si="41"/>
        <v>5.4002508375811296</v>
      </c>
    </row>
    <row r="799" spans="1:22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>
        <f>1+18*4/59</f>
        <v>2.2203389830508478</v>
      </c>
      <c r="L799" s="5">
        <f t="shared" si="39"/>
        <v>5.9107499709231632</v>
      </c>
      <c r="M799" s="5">
        <f>L799-$B$713*$B$708*SQRT(1/$B$702+(K799-AVERAGE(Данные!$B$2:$B$75))^2/DEVSQ(Данные!$B$2:$B$75))</f>
        <v>5.3931440489988454</v>
      </c>
      <c r="N799" s="5">
        <f>L799+$B$713*$B$708*SQRT(1/$B$702+(K799-AVERAGE(Данные!$B$2:$B$75))^2/DEVSQ(Данные!$B$2:$B$75))</f>
        <v>6.4283558928474811</v>
      </c>
      <c r="O799" s="5"/>
      <c r="P799" s="5"/>
      <c r="Q799" s="5"/>
      <c r="S799">
        <f t="shared" si="40"/>
        <v>2.2203389830508478</v>
      </c>
      <c r="T799">
        <f t="shared" si="41"/>
        <v>5.3931440489988454</v>
      </c>
      <c r="U799" t="s">
        <v>68</v>
      </c>
    </row>
    <row r="800" spans="1:22" x14ac:dyDescent="0.25">
      <c r="A800" s="5">
        <v>0.75</v>
      </c>
      <c r="B800" s="5">
        <f>E783</f>
        <v>6</v>
      </c>
      <c r="C800" s="5"/>
      <c r="D800" s="5"/>
      <c r="E800" s="5"/>
      <c r="F800" s="5"/>
      <c r="G800" s="5"/>
      <c r="H800" s="5"/>
      <c r="I800" s="5"/>
      <c r="J800" s="5"/>
      <c r="K800" s="5">
        <f>1+19*4/59</f>
        <v>2.2881355932203391</v>
      </c>
      <c r="L800" s="5">
        <f t="shared" si="39"/>
        <v>5.887319327109128</v>
      </c>
      <c r="M800" s="5">
        <f>L800-$B$713*$B$708*SQRT(1/$B$702+(K800-AVERAGE(Данные!$B$2:$B$75))^2/DEVSQ(Данные!$B$2:$B$75))</f>
        <v>5.3853457763487285</v>
      </c>
      <c r="N800" s="5">
        <f>L800+$B$713*$B$708*SQRT(1/$B$702+(K800-AVERAGE(Данные!$B$2:$B$75))^2/DEVSQ(Данные!$B$2:$B$75))</f>
        <v>6.3892928778695275</v>
      </c>
      <c r="O800" s="5"/>
      <c r="P800" s="5"/>
      <c r="Q800" s="5"/>
      <c r="S800">
        <f t="shared" si="40"/>
        <v>2.2881355932203391</v>
      </c>
      <c r="T800">
        <f t="shared" si="41"/>
        <v>5.3853457763487285</v>
      </c>
      <c r="U800">
        <f>A806</f>
        <v>0.75</v>
      </c>
      <c r="V800">
        <f>B806</f>
        <v>7</v>
      </c>
    </row>
    <row r="801" spans="1:22" x14ac:dyDescent="0.25">
      <c r="A801" s="5">
        <v>1.25</v>
      </c>
      <c r="B801" s="5">
        <f>E783</f>
        <v>6</v>
      </c>
      <c r="C801" s="5"/>
      <c r="D801" s="5"/>
      <c r="E801" s="5"/>
      <c r="F801" s="5"/>
      <c r="G801" s="5"/>
      <c r="H801" s="5"/>
      <c r="I801" s="5"/>
      <c r="J801" s="5"/>
      <c r="K801" s="5">
        <f>1+20*4/59</f>
        <v>2.3559322033898304</v>
      </c>
      <c r="L801" s="5">
        <f t="shared" si="39"/>
        <v>5.8638886832950927</v>
      </c>
      <c r="M801" s="5">
        <f>L801-$B$713*$B$708*SQRT(1/$B$702+(K801-AVERAGE(Данные!$B$2:$B$75))^2/DEVSQ(Данные!$B$2:$B$75))</f>
        <v>5.3767894401324998</v>
      </c>
      <c r="N801" s="5">
        <f>L801+$B$713*$B$708*SQRT(1/$B$702+(K801-AVERAGE(Данные!$B$2:$B$75))^2/DEVSQ(Данные!$B$2:$B$75))</f>
        <v>6.3509879264576856</v>
      </c>
      <c r="O801" s="5"/>
      <c r="P801" s="5"/>
      <c r="Q801" s="5"/>
      <c r="S801">
        <f t="shared" si="40"/>
        <v>2.3559322033898304</v>
      </c>
      <c r="T801">
        <f t="shared" si="41"/>
        <v>5.3767894401324998</v>
      </c>
      <c r="U801">
        <f>A807</f>
        <v>1.25</v>
      </c>
      <c r="V801">
        <f>B807</f>
        <v>7</v>
      </c>
    </row>
    <row r="802" spans="1:22" x14ac:dyDescent="0.25">
      <c r="A802" s="5">
        <v>1.25</v>
      </c>
      <c r="B802" s="5">
        <f>E785</f>
        <v>7</v>
      </c>
      <c r="C802" s="5"/>
      <c r="D802" s="5"/>
      <c r="E802" s="5"/>
      <c r="F802" s="5"/>
      <c r="G802" s="5"/>
      <c r="H802" s="5"/>
      <c r="I802" s="5"/>
      <c r="J802" s="5"/>
      <c r="K802" s="5">
        <f>1+21*4/59</f>
        <v>2.4237288135593218</v>
      </c>
      <c r="L802" s="5">
        <f t="shared" si="39"/>
        <v>5.8404580394810575</v>
      </c>
      <c r="M802" s="5">
        <f>L802-$B$713*$B$708*SQRT(1/$B$702+(K802-AVERAGE(Данные!$B$2:$B$75))^2/DEVSQ(Данные!$B$2:$B$75))</f>
        <v>5.3674035273042646</v>
      </c>
      <c r="N802" s="5">
        <f>L802+$B$713*$B$708*SQRT(1/$B$702+(K802-AVERAGE(Данные!$B$2:$B$75))^2/DEVSQ(Данные!$B$2:$B$75))</f>
        <v>6.3135125516578503</v>
      </c>
      <c r="O802" s="5"/>
      <c r="P802" s="5"/>
      <c r="Q802" s="5"/>
      <c r="S802">
        <f t="shared" si="40"/>
        <v>2.4237288135593218</v>
      </c>
      <c r="T802">
        <f t="shared" si="41"/>
        <v>5.3674035273042646</v>
      </c>
    </row>
    <row r="803" spans="1:22" x14ac:dyDescent="0.25">
      <c r="A803" s="5">
        <v>0.75</v>
      </c>
      <c r="B803" s="5">
        <f>E785</f>
        <v>7</v>
      </c>
      <c r="C803" s="5"/>
      <c r="D803" s="5"/>
      <c r="E803" s="5"/>
      <c r="F803" s="5"/>
      <c r="G803" s="5"/>
      <c r="H803" s="5"/>
      <c r="I803" s="5"/>
      <c r="J803" s="5"/>
      <c r="K803" s="5">
        <f>1+22*4/59</f>
        <v>2.4915254237288136</v>
      </c>
      <c r="L803" s="5">
        <f t="shared" si="39"/>
        <v>5.8170273956670222</v>
      </c>
      <c r="M803" s="5">
        <f>L803-$B$713*$B$708*SQRT(1/$B$702+(K803-AVERAGE(Данные!$B$2:$B$75))^2/DEVSQ(Данные!$B$2:$B$75))</f>
        <v>5.3571120316414627</v>
      </c>
      <c r="N803" s="5">
        <f>L803+$B$713*$B$708*SQRT(1/$B$702+(K803-AVERAGE(Данные!$B$2:$B$75))^2/DEVSQ(Данные!$B$2:$B$75))</f>
        <v>6.2769427596925818</v>
      </c>
      <c r="O803" s="5"/>
      <c r="P803" s="5"/>
      <c r="Q803" s="5"/>
      <c r="S803">
        <f t="shared" si="40"/>
        <v>2.4915254237288136</v>
      </c>
      <c r="T803">
        <f t="shared" si="41"/>
        <v>5.3571120316414627</v>
      </c>
      <c r="U803">
        <f>A825</f>
        <v>1.75</v>
      </c>
      <c r="V803">
        <f>B825</f>
        <v>6</v>
      </c>
    </row>
    <row r="804" spans="1:22" x14ac:dyDescent="0.25">
      <c r="A804" s="5">
        <v>0.75</v>
      </c>
      <c r="B804" s="5">
        <f>E783</f>
        <v>6</v>
      </c>
      <c r="C804" s="5"/>
      <c r="D804" s="5"/>
      <c r="E804" s="5"/>
      <c r="F804" s="5"/>
      <c r="G804" s="5"/>
      <c r="H804" s="5"/>
      <c r="I804" s="5"/>
      <c r="J804" s="5"/>
      <c r="K804" s="5">
        <f>1+23*4/59</f>
        <v>2.5593220338983054</v>
      </c>
      <c r="L804" s="5">
        <f t="shared" si="39"/>
        <v>5.7935967518529869</v>
      </c>
      <c r="M804" s="5">
        <f>L804-$B$713*$B$708*SQRT(1/$B$702+(K804-AVERAGE(Данные!$B$2:$B$75))^2/DEVSQ(Данные!$B$2:$B$75))</f>
        <v>5.3458352255721016</v>
      </c>
      <c r="N804" s="5">
        <f>L804+$B$713*$B$708*SQRT(1/$B$702+(K804-AVERAGE(Данные!$B$2:$B$75))^2/DEVSQ(Данные!$B$2:$B$75))</f>
        <v>6.2413582781338723</v>
      </c>
      <c r="O804" s="5"/>
      <c r="P804" s="5"/>
      <c r="Q804" s="5"/>
      <c r="S804">
        <f t="shared" si="40"/>
        <v>2.5593220338983054</v>
      </c>
      <c r="T804">
        <f t="shared" si="41"/>
        <v>5.3458352255721016</v>
      </c>
      <c r="U804">
        <f>A826</f>
        <v>2.25</v>
      </c>
      <c r="V804">
        <f>B826</f>
        <v>6</v>
      </c>
    </row>
    <row r="805" spans="1:22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>
        <f>1+24*4/59</f>
        <v>2.6271186440677967</v>
      </c>
      <c r="L805" s="5">
        <f t="shared" si="39"/>
        <v>5.7701661080389526</v>
      </c>
      <c r="M805" s="5">
        <f>L805-$B$713*$B$708*SQRT(1/$B$702+(K805-AVERAGE(Данные!$B$2:$B$75))^2/DEVSQ(Данные!$B$2:$B$75))</f>
        <v>5.3334908298943109</v>
      </c>
      <c r="N805" s="5">
        <f>L805+$B$713*$B$708*SQRT(1/$B$702+(K805-AVERAGE(Данные!$B$2:$B$75))^2/DEVSQ(Данные!$B$2:$B$75))</f>
        <v>6.2068413861835943</v>
      </c>
      <c r="O805" s="5"/>
      <c r="P805" s="5"/>
      <c r="Q805" s="5"/>
      <c r="S805">
        <f t="shared" si="40"/>
        <v>2.6271186440677967</v>
      </c>
      <c r="T805">
        <f t="shared" si="41"/>
        <v>5.3334908298943109</v>
      </c>
    </row>
    <row r="806" spans="1:22" x14ac:dyDescent="0.25">
      <c r="A806" s="5">
        <v>0.75</v>
      </c>
      <c r="B806" s="5">
        <f>E784</f>
        <v>7</v>
      </c>
      <c r="C806" s="5"/>
      <c r="D806" s="5"/>
      <c r="E806" s="5"/>
      <c r="F806" s="5"/>
      <c r="G806" s="5"/>
      <c r="H806" s="5"/>
      <c r="I806" s="5"/>
      <c r="J806" s="5"/>
      <c r="K806" s="5">
        <f>1+25*4/59</f>
        <v>2.6949152542372881</v>
      </c>
      <c r="L806" s="5">
        <f t="shared" si="39"/>
        <v>5.7467354642249173</v>
      </c>
      <c r="M806" s="5">
        <f>L806-$B$713*$B$708*SQRT(1/$B$702+(K806-AVERAGE(Данные!$B$2:$B$75))^2/DEVSQ(Данные!$B$2:$B$75))</f>
        <v>5.3199956319585837</v>
      </c>
      <c r="N806" s="5">
        <f>L806+$B$713*$B$708*SQRT(1/$B$702+(K806-AVERAGE(Данные!$B$2:$B$75))^2/DEVSQ(Данные!$B$2:$B$75))</f>
        <v>6.1734752964912509</v>
      </c>
      <c r="O806" s="5"/>
      <c r="P806" s="5"/>
      <c r="Q806" s="5"/>
      <c r="S806">
        <f t="shared" si="40"/>
        <v>2.6949152542372881</v>
      </c>
      <c r="T806">
        <f t="shared" si="41"/>
        <v>5.3199956319585837</v>
      </c>
      <c r="U806">
        <f>A844</f>
        <v>2.75</v>
      </c>
      <c r="V806">
        <f>B844</f>
        <v>6</v>
      </c>
    </row>
    <row r="807" spans="1:22" x14ac:dyDescent="0.25">
      <c r="A807" s="5">
        <v>1.25</v>
      </c>
      <c r="B807" s="5">
        <f>E784</f>
        <v>7</v>
      </c>
      <c r="C807" s="5"/>
      <c r="D807" s="5"/>
      <c r="E807" s="5"/>
      <c r="F807" s="5"/>
      <c r="G807" s="5"/>
      <c r="H807" s="5"/>
      <c r="I807" s="5"/>
      <c r="J807" s="5"/>
      <c r="K807" s="5">
        <f>1+26*4/59</f>
        <v>2.7627118644067794</v>
      </c>
      <c r="L807" s="5">
        <f t="shared" si="39"/>
        <v>5.7233048204108821</v>
      </c>
      <c r="M807" s="5">
        <f>L807-$B$713*$B$708*SQRT(1/$B$702+(K807-AVERAGE(Данные!$B$2:$B$75))^2/DEVSQ(Данные!$B$2:$B$75))</f>
        <v>5.3052675707340349</v>
      </c>
      <c r="N807" s="5">
        <f>L807+$B$713*$B$708*SQRT(1/$B$702+(K807-AVERAGE(Данные!$B$2:$B$75))^2/DEVSQ(Данные!$B$2:$B$75))</f>
        <v>6.1413420700877293</v>
      </c>
      <c r="O807" s="5"/>
      <c r="P807" s="5"/>
      <c r="Q807" s="5"/>
      <c r="S807">
        <f t="shared" si="40"/>
        <v>2.7627118644067794</v>
      </c>
      <c r="T807">
        <f t="shared" si="41"/>
        <v>5.3052675707340349</v>
      </c>
      <c r="U807">
        <f>A845</f>
        <v>3.25</v>
      </c>
      <c r="V807">
        <f>B845</f>
        <v>6</v>
      </c>
    </row>
    <row r="808" spans="1:22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>
        <f>1+27*4/59</f>
        <v>2.8305084745762712</v>
      </c>
      <c r="L808" s="5">
        <f t="shared" si="39"/>
        <v>5.6998741765968468</v>
      </c>
      <c r="M808" s="5">
        <f>L808-$B$713*$B$708*SQRT(1/$B$702+(K808-AVERAGE(Данные!$B$2:$B$75))^2/DEVSQ(Данные!$B$2:$B$75))</f>
        <v>5.2892282566527262</v>
      </c>
      <c r="N808" s="5">
        <f>L808+$B$713*$B$708*SQRT(1/$B$702+(K808-AVERAGE(Данные!$B$2:$B$75))^2/DEVSQ(Данные!$B$2:$B$75))</f>
        <v>6.1105200965409674</v>
      </c>
      <c r="O808" s="5"/>
      <c r="P808" s="5"/>
      <c r="Q808" s="5"/>
      <c r="S808">
        <f t="shared" si="40"/>
        <v>2.8305084745762712</v>
      </c>
      <c r="T808">
        <f t="shared" si="41"/>
        <v>5.2892282566527262</v>
      </c>
    </row>
    <row r="809" spans="1:22" x14ac:dyDescent="0.25">
      <c r="A809" s="5">
        <v>0.87</v>
      </c>
      <c r="B809" s="5">
        <f>E789</f>
        <v>6</v>
      </c>
      <c r="C809" s="5"/>
      <c r="D809" s="5"/>
      <c r="E809" s="5"/>
      <c r="F809" s="5"/>
      <c r="G809" s="5"/>
      <c r="H809" s="5"/>
      <c r="I809" s="5"/>
      <c r="J809" s="5"/>
      <c r="K809" s="5">
        <f>1+28*4/59</f>
        <v>2.898305084745763</v>
      </c>
      <c r="L809" s="5">
        <f t="shared" si="39"/>
        <v>5.6764435327828116</v>
      </c>
      <c r="M809" s="5">
        <f>L809-$B$713*$B$708*SQRT(1/$B$702+(K809-AVERAGE(Данные!$B$2:$B$75))^2/DEVSQ(Данные!$B$2:$B$75))</f>
        <v>5.2718058271858048</v>
      </c>
      <c r="N809" s="5">
        <f>L809+$B$713*$B$708*SQRT(1/$B$702+(K809-AVERAGE(Данные!$B$2:$B$75))^2/DEVSQ(Данные!$B$2:$B$75))</f>
        <v>6.0810812383798183</v>
      </c>
      <c r="O809" s="5"/>
      <c r="P809" s="5"/>
      <c r="Q809" s="5"/>
      <c r="S809">
        <f t="shared" si="40"/>
        <v>2.898305084745763</v>
      </c>
      <c r="T809">
        <f t="shared" si="41"/>
        <v>5.2718058271858048</v>
      </c>
      <c r="U809">
        <f>A863</f>
        <v>3.75</v>
      </c>
      <c r="V809">
        <f>B863</f>
        <v>5</v>
      </c>
    </row>
    <row r="810" spans="1:22" x14ac:dyDescent="0.25">
      <c r="A810" s="5">
        <v>1.1299999999999999</v>
      </c>
      <c r="B810" s="5">
        <f>E789</f>
        <v>6</v>
      </c>
      <c r="C810" s="5"/>
      <c r="D810" s="5"/>
      <c r="E810" s="5"/>
      <c r="F810" s="5"/>
      <c r="G810" s="5"/>
      <c r="H810" s="5"/>
      <c r="I810" s="5"/>
      <c r="J810" s="5"/>
      <c r="K810" s="5">
        <f>1+29*4/59</f>
        <v>2.9661016949152543</v>
      </c>
      <c r="L810" s="5">
        <f t="shared" si="39"/>
        <v>5.6530128889687763</v>
      </c>
      <c r="M810" s="5">
        <f>L810-$B$713*$B$708*SQRT(1/$B$702+(K810-AVERAGE(Данные!$B$2:$B$75))^2/DEVSQ(Данные!$B$2:$B$75))</f>
        <v>5.252937963749071</v>
      </c>
      <c r="N810" s="5">
        <f>L810+$B$713*$B$708*SQRT(1/$B$702+(K810-AVERAGE(Данные!$B$2:$B$75))^2/DEVSQ(Данные!$B$2:$B$75))</f>
        <v>6.0530878141884816</v>
      </c>
      <c r="O810" s="5"/>
      <c r="P810" s="5"/>
      <c r="Q810" s="5"/>
      <c r="S810">
        <f t="shared" si="40"/>
        <v>2.9661016949152543</v>
      </c>
      <c r="T810">
        <f t="shared" si="41"/>
        <v>5.252937963749071</v>
      </c>
      <c r="U810">
        <f>A864</f>
        <v>4.25</v>
      </c>
      <c r="V810">
        <f>B864</f>
        <v>5</v>
      </c>
    </row>
    <row r="811" spans="1:22" x14ac:dyDescent="0.25">
      <c r="A811" s="5">
        <v>1</v>
      </c>
      <c r="B811" s="5">
        <f>E789</f>
        <v>6</v>
      </c>
      <c r="C811" s="5"/>
      <c r="D811" s="5"/>
      <c r="E811" s="5"/>
      <c r="F811" s="5"/>
      <c r="G811" s="5"/>
      <c r="H811" s="5"/>
      <c r="I811" s="5"/>
      <c r="J811" s="5"/>
      <c r="K811" s="5">
        <f>1+30*4/59</f>
        <v>3.0338983050847457</v>
      </c>
      <c r="L811" s="5">
        <f t="shared" si="39"/>
        <v>5.6295822451547419</v>
      </c>
      <c r="M811" s="5">
        <f>L811-$B$713*$B$708*SQRT(1/$B$702+(K811-AVERAGE(Данные!$B$2:$B$75))^2/DEVSQ(Данные!$B$2:$B$75))</f>
        <v>5.2325748263789933</v>
      </c>
      <c r="N811" s="5">
        <f>L811+$B$713*$B$708*SQRT(1/$B$702+(K811-AVERAGE(Данные!$B$2:$B$75))^2/DEVSQ(Данные!$B$2:$B$75))</f>
        <v>6.0265896639304906</v>
      </c>
      <c r="O811" s="5"/>
      <c r="P811" s="5"/>
      <c r="Q811" s="5"/>
      <c r="S811">
        <f t="shared" si="40"/>
        <v>3.0338983050847457</v>
      </c>
      <c r="T811">
        <f t="shared" si="41"/>
        <v>5.2325748263789933</v>
      </c>
    </row>
    <row r="812" spans="1:22" x14ac:dyDescent="0.25">
      <c r="A812" s="5">
        <v>1</v>
      </c>
      <c r="B812" s="5">
        <f>E783</f>
        <v>6</v>
      </c>
      <c r="C812" s="5"/>
      <c r="D812" s="5"/>
      <c r="E812" s="5"/>
      <c r="F812" s="5"/>
      <c r="G812" s="5"/>
      <c r="H812" s="5"/>
      <c r="I812" s="5"/>
      <c r="J812" s="5"/>
      <c r="K812" s="5">
        <f>1+31*4/59</f>
        <v>3.1016949152542375</v>
      </c>
      <c r="L812" s="5">
        <f t="shared" si="39"/>
        <v>5.6061516013407058</v>
      </c>
      <c r="M812" s="5">
        <f>L812-$B$713*$B$708*SQRT(1/$B$702+(K812-AVERAGE(Данные!$B$2:$B$75))^2/DEVSQ(Данные!$B$2:$B$75))</f>
        <v>5.2106816187742684</v>
      </c>
      <c r="N812" s="5">
        <f>L812+$B$713*$B$708*SQRT(1/$B$702+(K812-AVERAGE(Данные!$B$2:$B$75))^2/DEVSQ(Данные!$B$2:$B$75))</f>
        <v>6.0016215839071432</v>
      </c>
      <c r="O812" s="5"/>
      <c r="P812" s="5"/>
      <c r="Q812" s="5"/>
      <c r="S812">
        <f t="shared" si="40"/>
        <v>3.1016949152542375</v>
      </c>
      <c r="T812">
        <f t="shared" si="41"/>
        <v>5.2106816187742684</v>
      </c>
      <c r="U812">
        <f>A882</f>
        <v>4.75</v>
      </c>
      <c r="V812">
        <f>B882</f>
        <v>5</v>
      </c>
    </row>
    <row r="813" spans="1:22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>
        <f>1+32*4/59</f>
        <v>3.1694915254237288</v>
      </c>
      <c r="L813" s="5">
        <f t="shared" ref="L813:L844" si="42">$B$705+$B$706*K813</f>
        <v>5.5827209575266714</v>
      </c>
      <c r="M813" s="5">
        <f>L813-$B$713*$B$708*SQRT(1/$B$702+(K813-AVERAGE(Данные!$B$2:$B$75))^2/DEVSQ(Данные!$B$2:$B$75))</f>
        <v>5.1872404960195322</v>
      </c>
      <c r="N813" s="5">
        <f>L813+$B$713*$B$708*SQRT(1/$B$702+(K813-AVERAGE(Данные!$B$2:$B$75))^2/DEVSQ(Данные!$B$2:$B$75))</f>
        <v>5.9782014190338106</v>
      </c>
      <c r="O813" s="5"/>
      <c r="P813" s="5"/>
      <c r="Q813" s="5"/>
      <c r="S813">
        <f t="shared" ref="S813:S840" si="43">K813</f>
        <v>3.1694915254237288</v>
      </c>
      <c r="T813">
        <f t="shared" ref="T813:T840" si="44">M813</f>
        <v>5.1872404960195322</v>
      </c>
      <c r="U813">
        <f>A883</f>
        <v>5.25</v>
      </c>
      <c r="V813">
        <f>B883</f>
        <v>5</v>
      </c>
    </row>
    <row r="814" spans="1:22" x14ac:dyDescent="0.25">
      <c r="A814" s="5">
        <v>1</v>
      </c>
      <c r="B814" s="5">
        <f>E785</f>
        <v>7</v>
      </c>
      <c r="C814" s="5"/>
      <c r="D814" s="5"/>
      <c r="E814" s="5"/>
      <c r="F814" s="5"/>
      <c r="G814" s="5"/>
      <c r="H814" s="5"/>
      <c r="I814" s="5"/>
      <c r="J814" s="5"/>
      <c r="K814" s="5">
        <f>1+33*4/59</f>
        <v>3.2372881355932202</v>
      </c>
      <c r="L814" s="5">
        <f t="shared" si="42"/>
        <v>5.5592903137126362</v>
      </c>
      <c r="M814" s="5">
        <f>L814-$B$713*$B$708*SQRT(1/$B$702+(K814-AVERAGE(Данные!$B$2:$B$75))^2/DEVSQ(Данные!$B$2:$B$75))</f>
        <v>5.1622515806759353</v>
      </c>
      <c r="N814" s="5">
        <f>L814+$B$713*$B$708*SQRT(1/$B$702+(K814-AVERAGE(Данные!$B$2:$B$75))^2/DEVSQ(Данные!$B$2:$B$75))</f>
        <v>5.9563290467493371</v>
      </c>
      <c r="O814" s="5"/>
      <c r="P814" s="5"/>
      <c r="Q814" s="5"/>
      <c r="S814">
        <f t="shared" si="43"/>
        <v>3.2372881355932202</v>
      </c>
      <c r="T814">
        <f t="shared" si="44"/>
        <v>5.1622515806759353</v>
      </c>
    </row>
    <row r="815" spans="1:22" x14ac:dyDescent="0.25">
      <c r="A815" s="5">
        <v>1</v>
      </c>
      <c r="B815" s="5">
        <f>E790</f>
        <v>8</v>
      </c>
      <c r="C815" s="5"/>
      <c r="D815" s="5"/>
      <c r="E815" s="5"/>
      <c r="F815" s="5"/>
      <c r="G815" s="5"/>
      <c r="H815" s="5"/>
      <c r="I815" s="5"/>
      <c r="J815" s="5"/>
      <c r="K815" s="5">
        <f>1+34*4/59</f>
        <v>3.3050847457627119</v>
      </c>
      <c r="L815" s="5">
        <f t="shared" si="42"/>
        <v>5.5358596698986009</v>
      </c>
      <c r="M815" s="5">
        <f>L815-$B$713*$B$708*SQRT(1/$B$702+(K815-AVERAGE(Данные!$B$2:$B$75))^2/DEVSQ(Данные!$B$2:$B$75))</f>
        <v>5.1357329557147526</v>
      </c>
      <c r="N815" s="5">
        <f>L815+$B$713*$B$708*SQRT(1/$B$702+(K815-AVERAGE(Данные!$B$2:$B$75))^2/DEVSQ(Данные!$B$2:$B$75))</f>
        <v>5.9359863840824492</v>
      </c>
      <c r="O815" s="5"/>
      <c r="P815" s="5"/>
      <c r="Q815" s="5"/>
      <c r="S815">
        <f t="shared" si="43"/>
        <v>3.3050847457627119</v>
      </c>
      <c r="T815">
        <f t="shared" si="44"/>
        <v>5.1357329557147526</v>
      </c>
    </row>
    <row r="816" spans="1:22" x14ac:dyDescent="0.25">
      <c r="A816" s="5">
        <v>0.87</v>
      </c>
      <c r="B816" s="5">
        <f>E790</f>
        <v>8</v>
      </c>
      <c r="C816" s="5"/>
      <c r="D816" s="5"/>
      <c r="E816" s="5"/>
      <c r="F816" s="5"/>
      <c r="G816" s="5"/>
      <c r="H816" s="5"/>
      <c r="I816" s="5"/>
      <c r="J816" s="5"/>
      <c r="K816" s="5">
        <f>1+35*4/59</f>
        <v>3.3728813559322033</v>
      </c>
      <c r="L816" s="5">
        <f t="shared" si="42"/>
        <v>5.5124290260845656</v>
      </c>
      <c r="M816" s="5">
        <f>L816-$B$713*$B$708*SQRT(1/$B$702+(K816-AVERAGE(Данные!$B$2:$B$75))^2/DEVSQ(Данные!$B$2:$B$75))</f>
        <v>5.1077196352243783</v>
      </c>
      <c r="N816" s="5">
        <f>L816+$B$713*$B$708*SQRT(1/$B$702+(K816-AVERAGE(Данные!$B$2:$B$75))^2/DEVSQ(Данные!$B$2:$B$75))</f>
        <v>5.917138416944753</v>
      </c>
      <c r="O816" s="5"/>
      <c r="P816" s="5"/>
      <c r="Q816" s="5"/>
      <c r="S816">
        <f t="shared" si="43"/>
        <v>3.3728813559322033</v>
      </c>
      <c r="T816">
        <f t="shared" si="44"/>
        <v>5.1077196352243783</v>
      </c>
    </row>
    <row r="817" spans="1:20" x14ac:dyDescent="0.25">
      <c r="A817" s="5">
        <v>1.1299999999999999</v>
      </c>
      <c r="B817" s="5">
        <f>E790</f>
        <v>8</v>
      </c>
      <c r="C817" s="5"/>
      <c r="D817" s="5"/>
      <c r="E817" s="5"/>
      <c r="F817" s="5"/>
      <c r="G817" s="5"/>
      <c r="H817" s="5"/>
      <c r="I817" s="5"/>
      <c r="J817" s="5"/>
      <c r="K817" s="5">
        <f>1+36*4/59</f>
        <v>3.4406779661016951</v>
      </c>
      <c r="L817" s="5">
        <f t="shared" si="42"/>
        <v>5.4889983822705304</v>
      </c>
      <c r="M817" s="5">
        <f>L817-$B$713*$B$708*SQRT(1/$B$702+(K817-AVERAGE(Данные!$B$2:$B$75))^2/DEVSQ(Данные!$B$2:$B$75))</f>
        <v>5.0782616460611054</v>
      </c>
      <c r="N817" s="5">
        <f>L817+$B$713*$B$708*SQRT(1/$B$702+(K817-AVERAGE(Данные!$B$2:$B$75))^2/DEVSQ(Данные!$B$2:$B$75))</f>
        <v>5.8997351184799554</v>
      </c>
      <c r="O817" s="5"/>
      <c r="P817" s="5"/>
      <c r="Q817" s="5"/>
      <c r="S817">
        <f t="shared" si="43"/>
        <v>3.4406779661016951</v>
      </c>
      <c r="T817">
        <f t="shared" si="44"/>
        <v>5.0782616460611054</v>
      </c>
    </row>
    <row r="818" spans="1:20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>
        <f>1+37*4/59</f>
        <v>3.5084745762711864</v>
      </c>
      <c r="L818" s="5">
        <f t="shared" si="42"/>
        <v>5.465567738456496</v>
      </c>
      <c r="M818" s="5">
        <f>L818-$B$713*$B$708*SQRT(1/$B$702+(K818-AVERAGE(Данные!$B$2:$B$75))^2/DEVSQ(Данные!$B$2:$B$75))</f>
        <v>5.047421455837358</v>
      </c>
      <c r="N818" s="5">
        <f>L818+$B$713*$B$708*SQRT(1/$B$702+(K818-AVERAGE(Данные!$B$2:$B$75))^2/DEVSQ(Данные!$B$2:$B$75))</f>
        <v>5.883714021075634</v>
      </c>
      <c r="O818" s="5"/>
      <c r="P818" s="5"/>
      <c r="Q818" s="5"/>
      <c r="S818">
        <f t="shared" si="43"/>
        <v>3.5084745762711864</v>
      </c>
      <c r="T818">
        <f t="shared" si="44"/>
        <v>5.047421455837358</v>
      </c>
    </row>
    <row r="819" spans="1:20" x14ac:dyDescent="0.25">
      <c r="A819" s="5">
        <v>1.75</v>
      </c>
      <c r="B819" s="5">
        <f>F783</f>
        <v>5</v>
      </c>
      <c r="C819" s="5"/>
      <c r="D819" s="5"/>
      <c r="E819" s="5"/>
      <c r="F819" s="5"/>
      <c r="G819" s="5"/>
      <c r="H819" s="5"/>
      <c r="I819" s="5"/>
      <c r="J819" s="5"/>
      <c r="K819" s="5">
        <f>1+38*4/59</f>
        <v>3.5762711864406778</v>
      </c>
      <c r="L819" s="5">
        <f t="shared" si="42"/>
        <v>5.4421370946424608</v>
      </c>
      <c r="M819" s="5">
        <f>L819-$B$713*$B$708*SQRT(1/$B$702+(K819-AVERAGE(Данные!$B$2:$B$75))^2/DEVSQ(Данные!$B$2:$B$75))</f>
        <v>5.0152710352759149</v>
      </c>
      <c r="N819" s="5">
        <f>L819+$B$713*$B$708*SQRT(1/$B$702+(K819-AVERAGE(Данные!$B$2:$B$75))^2/DEVSQ(Данные!$B$2:$B$75))</f>
        <v>5.8690031540090066</v>
      </c>
      <c r="O819" s="5"/>
      <c r="P819" s="5"/>
      <c r="Q819" s="5"/>
      <c r="S819">
        <f t="shared" si="43"/>
        <v>3.5762711864406778</v>
      </c>
      <c r="T819">
        <f t="shared" si="44"/>
        <v>5.0152710352759149</v>
      </c>
    </row>
    <row r="820" spans="1:20" x14ac:dyDescent="0.25">
      <c r="A820" s="5">
        <v>2.25</v>
      </c>
      <c r="B820" s="5">
        <f>F783</f>
        <v>5</v>
      </c>
      <c r="C820" s="5"/>
      <c r="D820" s="5"/>
      <c r="E820" s="5"/>
      <c r="F820" s="5"/>
      <c r="G820" s="5"/>
      <c r="H820" s="5"/>
      <c r="I820" s="5"/>
      <c r="J820" s="5"/>
      <c r="K820" s="5">
        <f>1+39*4/59</f>
        <v>3.6440677966101696</v>
      </c>
      <c r="L820" s="5">
        <f t="shared" si="42"/>
        <v>5.4187064508284255</v>
      </c>
      <c r="M820" s="5">
        <f>L820-$B$713*$B$708*SQRT(1/$B$702+(K820-AVERAGE(Данные!$B$2:$B$75))^2/DEVSQ(Данные!$B$2:$B$75))</f>
        <v>4.9818888419975433</v>
      </c>
      <c r="N820" s="5">
        <f>L820+$B$713*$B$708*SQRT(1/$B$702+(K820-AVERAGE(Данные!$B$2:$B$75))^2/DEVSQ(Данные!$B$2:$B$75))</f>
        <v>5.8555240596593077</v>
      </c>
      <c r="O820" s="5"/>
      <c r="P820" s="5"/>
      <c r="Q820" s="5"/>
      <c r="S820">
        <f t="shared" si="43"/>
        <v>3.6440677966101696</v>
      </c>
      <c r="T820">
        <f t="shared" si="44"/>
        <v>4.9818888419975433</v>
      </c>
    </row>
    <row r="821" spans="1:20" x14ac:dyDescent="0.25">
      <c r="A821" s="5">
        <v>2.25</v>
      </c>
      <c r="B821" s="5">
        <f>F785</f>
        <v>7</v>
      </c>
      <c r="C821" s="5"/>
      <c r="D821" s="5"/>
      <c r="E821" s="5"/>
      <c r="F821" s="5"/>
      <c r="G821" s="5"/>
      <c r="H821" s="5"/>
      <c r="I821" s="5"/>
      <c r="J821" s="5"/>
      <c r="K821" s="5">
        <f>1+40*4/59</f>
        <v>3.7118644067796609</v>
      </c>
      <c r="L821" s="5">
        <f t="shared" si="42"/>
        <v>5.3952758070143902</v>
      </c>
      <c r="M821" s="5">
        <f>L821-$B$713*$B$708*SQRT(1/$B$702+(K821-AVERAGE(Данные!$B$2:$B$75))^2/DEVSQ(Данные!$B$2:$B$75))</f>
        <v>4.9473569684900198</v>
      </c>
      <c r="N821" s="5">
        <f>L821+$B$713*$B$708*SQRT(1/$B$702+(K821-AVERAGE(Данные!$B$2:$B$75))^2/DEVSQ(Данные!$B$2:$B$75))</f>
        <v>5.8431946455387607</v>
      </c>
      <c r="O821" s="5"/>
      <c r="P821" s="5"/>
      <c r="Q821" s="5"/>
      <c r="S821">
        <f t="shared" si="43"/>
        <v>3.7118644067796609</v>
      </c>
      <c r="T821">
        <f t="shared" si="44"/>
        <v>4.9473569684900198</v>
      </c>
    </row>
    <row r="822" spans="1:20" x14ac:dyDescent="0.25">
      <c r="A822" s="5">
        <v>1.75</v>
      </c>
      <c r="B822" s="5">
        <f>F785</f>
        <v>7</v>
      </c>
      <c r="C822" s="5"/>
      <c r="D822" s="5"/>
      <c r="E822" s="5"/>
      <c r="F822" s="5"/>
      <c r="G822" s="5"/>
      <c r="H822" s="5"/>
      <c r="I822" s="5"/>
      <c r="J822" s="5"/>
      <c r="K822" s="5">
        <f>1+41*4/59</f>
        <v>3.7796610169491527</v>
      </c>
      <c r="L822" s="5">
        <f t="shared" si="42"/>
        <v>5.371845163200355</v>
      </c>
      <c r="M822" s="5">
        <f>L822-$B$713*$B$708*SQRT(1/$B$702+(K822-AVERAGE(Данные!$B$2:$B$75))^2/DEVSQ(Данные!$B$2:$B$75))</f>
        <v>4.9117586276442715</v>
      </c>
      <c r="N822" s="5">
        <f>L822+$B$713*$B$708*SQRT(1/$B$702+(K822-AVERAGE(Данные!$B$2:$B$75))^2/DEVSQ(Данные!$B$2:$B$75))</f>
        <v>5.8319316987564385</v>
      </c>
      <c r="O822" s="5"/>
      <c r="P822" s="5"/>
      <c r="Q822" s="5"/>
      <c r="S822">
        <f t="shared" si="43"/>
        <v>3.7796610169491527</v>
      </c>
      <c r="T822">
        <f t="shared" si="44"/>
        <v>4.9117586276442715</v>
      </c>
    </row>
    <row r="823" spans="1:20" x14ac:dyDescent="0.25">
      <c r="A823" s="5">
        <v>1.75</v>
      </c>
      <c r="B823" s="5">
        <f>F783</f>
        <v>5</v>
      </c>
      <c r="C823" s="5"/>
      <c r="D823" s="5"/>
      <c r="E823" s="5"/>
      <c r="F823" s="5"/>
      <c r="G823" s="5"/>
      <c r="H823" s="5"/>
      <c r="I823" s="5"/>
      <c r="J823" s="5"/>
      <c r="K823" s="5">
        <f>1+42*4/59</f>
        <v>3.847457627118644</v>
      </c>
      <c r="L823" s="5">
        <f t="shared" si="42"/>
        <v>5.3484145193863197</v>
      </c>
      <c r="M823" s="5">
        <f>L823-$B$713*$B$708*SQRT(1/$B$702+(K823-AVERAGE(Данные!$B$2:$B$75))^2/DEVSQ(Данные!$B$2:$B$75))</f>
        <v>4.8751760739175856</v>
      </c>
      <c r="N823" s="5">
        <f>L823+$B$713*$B$708*SQRT(1/$B$702+(K823-AVERAGE(Данные!$B$2:$B$75))^2/DEVSQ(Данные!$B$2:$B$75))</f>
        <v>5.8216529648550539</v>
      </c>
      <c r="O823" s="5"/>
      <c r="P823" s="5"/>
      <c r="Q823" s="5"/>
      <c r="S823">
        <f t="shared" si="43"/>
        <v>3.847457627118644</v>
      </c>
      <c r="T823">
        <f t="shared" si="44"/>
        <v>4.8751760739175856</v>
      </c>
    </row>
    <row r="824" spans="1:20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>
        <f>1+43*4/59</f>
        <v>3.9152542372881354</v>
      </c>
      <c r="L824" s="5">
        <f t="shared" si="42"/>
        <v>5.3249838755722845</v>
      </c>
      <c r="M824" s="5">
        <f>L824-$B$713*$B$708*SQRT(1/$B$702+(K824-AVERAGE(Данные!$B$2:$B$75))^2/DEVSQ(Данные!$B$2:$B$75))</f>
        <v>4.8376889914271546</v>
      </c>
      <c r="N824" s="5">
        <f>L824+$B$713*$B$708*SQRT(1/$B$702+(K824-AVERAGE(Данные!$B$2:$B$75))^2/DEVSQ(Данные!$B$2:$B$75))</f>
        <v>5.8122787597174144</v>
      </c>
      <c r="O824" s="5"/>
      <c r="P824" s="5"/>
      <c r="Q824" s="5"/>
      <c r="S824">
        <f t="shared" si="43"/>
        <v>3.9152542372881354</v>
      </c>
      <c r="T824">
        <f t="shared" si="44"/>
        <v>4.8376889914271546</v>
      </c>
    </row>
    <row r="825" spans="1:20" x14ac:dyDescent="0.25">
      <c r="A825" s="5">
        <v>1.75</v>
      </c>
      <c r="B825" s="5">
        <f>F784</f>
        <v>6</v>
      </c>
      <c r="C825" s="5"/>
      <c r="D825" s="5"/>
      <c r="E825" s="5"/>
      <c r="F825" s="5"/>
      <c r="G825" s="5"/>
      <c r="H825" s="5"/>
      <c r="I825" s="5"/>
      <c r="J825" s="5"/>
      <c r="K825" s="5">
        <f>1+44*4/59</f>
        <v>3.9830508474576272</v>
      </c>
      <c r="L825" s="5">
        <f t="shared" si="42"/>
        <v>5.3015532317582501</v>
      </c>
      <c r="M825" s="5">
        <f>L825-$B$713*$B$708*SQRT(1/$B$702+(K825-AVERAGE(Данные!$B$2:$B$75))^2/DEVSQ(Данные!$B$2:$B$75))</f>
        <v>4.7993733299968868</v>
      </c>
      <c r="N825" s="5">
        <f>L825+$B$713*$B$708*SQRT(1/$B$702+(K825-AVERAGE(Данные!$B$2:$B$75))^2/DEVSQ(Данные!$B$2:$B$75))</f>
        <v>5.8037331335196134</v>
      </c>
      <c r="O825" s="5"/>
      <c r="P825" s="5"/>
      <c r="Q825" s="5"/>
      <c r="S825">
        <f t="shared" si="43"/>
        <v>3.9830508474576272</v>
      </c>
      <c r="T825">
        <f t="shared" si="44"/>
        <v>4.7993733299968868</v>
      </c>
    </row>
    <row r="826" spans="1:20" x14ac:dyDescent="0.25">
      <c r="A826" s="5">
        <v>2.25</v>
      </c>
      <c r="B826" s="5">
        <f>F784</f>
        <v>6</v>
      </c>
      <c r="C826" s="5"/>
      <c r="D826" s="5"/>
      <c r="E826" s="5"/>
      <c r="F826" s="5"/>
      <c r="G826" s="5"/>
      <c r="H826" s="5"/>
      <c r="I826" s="5"/>
      <c r="J826" s="5"/>
      <c r="K826" s="5">
        <f>1+45*4/59</f>
        <v>4.0508474576271185</v>
      </c>
      <c r="L826" s="5">
        <f t="shared" si="42"/>
        <v>5.2781225879442148</v>
      </c>
      <c r="M826" s="5">
        <f>L826-$B$713*$B$708*SQRT(1/$B$702+(K826-AVERAGE(Данные!$B$2:$B$75))^2/DEVSQ(Данные!$B$2:$B$75))</f>
        <v>4.7603005382719594</v>
      </c>
      <c r="N826" s="5">
        <f>L826+$B$713*$B$708*SQRT(1/$B$702+(K826-AVERAGE(Данные!$B$2:$B$75))^2/DEVSQ(Данные!$B$2:$B$75))</f>
        <v>5.7959446376164703</v>
      </c>
      <c r="O826" s="5"/>
      <c r="P826" s="5"/>
      <c r="Q826" s="5"/>
      <c r="S826">
        <f t="shared" si="43"/>
        <v>4.0508474576271185</v>
      </c>
      <c r="T826">
        <f t="shared" si="44"/>
        <v>4.7603005382719594</v>
      </c>
    </row>
    <row r="827" spans="1:20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>
        <f>1+46*4/59</f>
        <v>4.1186440677966107</v>
      </c>
      <c r="L827" s="5">
        <f t="shared" si="42"/>
        <v>5.2546919441301796</v>
      </c>
      <c r="M827" s="5">
        <f>L827-$B$713*$B$708*SQRT(1/$B$702+(K827-AVERAGE(Данные!$B$2:$B$75))^2/DEVSQ(Данные!$B$2:$B$75))</f>
        <v>4.720537127344647</v>
      </c>
      <c r="N827" s="5">
        <f>L827+$B$713*$B$708*SQRT(1/$B$702+(K827-AVERAGE(Данные!$B$2:$B$75))^2/DEVSQ(Данные!$B$2:$B$75))</f>
        <v>5.7888467609157122</v>
      </c>
      <c r="O827" s="5"/>
      <c r="P827" s="5"/>
      <c r="Q827" s="5"/>
      <c r="S827">
        <f t="shared" si="43"/>
        <v>4.1186440677966107</v>
      </c>
      <c r="T827">
        <f t="shared" si="44"/>
        <v>4.720537127344647</v>
      </c>
    </row>
    <row r="828" spans="1:20" x14ac:dyDescent="0.25">
      <c r="A828" s="5">
        <v>1.87</v>
      </c>
      <c r="B828" s="5">
        <f>F789</f>
        <v>3</v>
      </c>
      <c r="C828" s="5"/>
      <c r="D828" s="5"/>
      <c r="E828" s="5"/>
      <c r="F828" s="5"/>
      <c r="G828" s="5"/>
      <c r="H828" s="5"/>
      <c r="I828" s="5"/>
      <c r="J828" s="5"/>
      <c r="K828" s="5">
        <f>1+47*4/59</f>
        <v>4.1864406779661021</v>
      </c>
      <c r="L828" s="5">
        <f t="shared" si="42"/>
        <v>5.2312613003161443</v>
      </c>
      <c r="M828" s="5">
        <f>L828-$B$713*$B$708*SQRT(1/$B$702+(K828-AVERAGE(Данные!$B$2:$B$75))^2/DEVSQ(Данные!$B$2:$B$75))</f>
        <v>4.6801444948762434</v>
      </c>
      <c r="N828" s="5">
        <f>L828+$B$713*$B$708*SQRT(1/$B$702+(K828-AVERAGE(Данные!$B$2:$B$75))^2/DEVSQ(Данные!$B$2:$B$75))</f>
        <v>5.7823781057560453</v>
      </c>
      <c r="O828" s="5"/>
      <c r="P828" s="5"/>
      <c r="Q828" s="5"/>
      <c r="S828">
        <f t="shared" si="43"/>
        <v>4.1864406779661021</v>
      </c>
      <c r="T828">
        <f t="shared" si="44"/>
        <v>4.6801444948762434</v>
      </c>
    </row>
    <row r="829" spans="1:20" x14ac:dyDescent="0.25">
      <c r="A829" s="5">
        <v>2.13</v>
      </c>
      <c r="B829" s="5">
        <f>F789</f>
        <v>3</v>
      </c>
      <c r="C829" s="5"/>
      <c r="D829" s="5"/>
      <c r="E829" s="5"/>
      <c r="F829" s="5"/>
      <c r="G829" s="5"/>
      <c r="H829" s="5"/>
      <c r="I829" s="5"/>
      <c r="J829" s="5"/>
      <c r="K829" s="5">
        <f>1+48*4/59</f>
        <v>4.2542372881355934</v>
      </c>
      <c r="L829" s="5">
        <f t="shared" si="42"/>
        <v>5.2078306565021091</v>
      </c>
      <c r="M829" s="5">
        <f>L829-$B$713*$B$708*SQRT(1/$B$702+(K829-AVERAGE(Данные!$B$2:$B$75))^2/DEVSQ(Данные!$B$2:$B$75))</f>
        <v>4.6391789441543283</v>
      </c>
      <c r="N829" s="5">
        <f>L829+$B$713*$B$708*SQRT(1/$B$702+(K829-AVERAGE(Данные!$B$2:$B$75))^2/DEVSQ(Данные!$B$2:$B$75))</f>
        <v>5.7764823688498899</v>
      </c>
      <c r="O829" s="5"/>
      <c r="P829" s="5"/>
      <c r="Q829" s="5"/>
      <c r="S829">
        <f t="shared" si="43"/>
        <v>4.2542372881355934</v>
      </c>
      <c r="T829">
        <f t="shared" si="44"/>
        <v>4.6391789441543283</v>
      </c>
    </row>
    <row r="830" spans="1:20" x14ac:dyDescent="0.25">
      <c r="A830" s="5">
        <v>2</v>
      </c>
      <c r="B830" s="5">
        <f>F789</f>
        <v>3</v>
      </c>
      <c r="C830" s="5"/>
      <c r="D830" s="5"/>
      <c r="E830" s="5"/>
      <c r="F830" s="5"/>
      <c r="G830" s="5"/>
      <c r="H830" s="5"/>
      <c r="I830" s="5"/>
      <c r="J830" s="5"/>
      <c r="K830" s="5">
        <f>1+49*4/59</f>
        <v>4.3220338983050848</v>
      </c>
      <c r="L830" s="5">
        <f t="shared" si="42"/>
        <v>5.1844000126880738</v>
      </c>
      <c r="M830" s="5">
        <f>L830-$B$713*$B$708*SQRT(1/$B$702+(K830-AVERAGE(Данные!$B$2:$B$75))^2/DEVSQ(Данные!$B$2:$B$75))</f>
        <v>4.597691841236089</v>
      </c>
      <c r="N830" s="5">
        <f>L830+$B$713*$B$708*SQRT(1/$B$702+(K830-AVERAGE(Данные!$B$2:$B$75))^2/DEVSQ(Данные!$B$2:$B$75))</f>
        <v>5.7711081841400587</v>
      </c>
      <c r="O830" s="5"/>
      <c r="P830" s="5"/>
      <c r="Q830" s="5"/>
      <c r="S830">
        <f t="shared" si="43"/>
        <v>4.3220338983050848</v>
      </c>
      <c r="T830">
        <f t="shared" si="44"/>
        <v>4.597691841236089</v>
      </c>
    </row>
    <row r="831" spans="1:20" x14ac:dyDescent="0.25">
      <c r="A831" s="5">
        <v>2</v>
      </c>
      <c r="B831" s="5">
        <f>F783</f>
        <v>5</v>
      </c>
      <c r="C831" s="5"/>
      <c r="D831" s="5"/>
      <c r="E831" s="5"/>
      <c r="F831" s="5"/>
      <c r="G831" s="5"/>
      <c r="H831" s="5"/>
      <c r="I831" s="5"/>
      <c r="J831" s="5"/>
      <c r="K831" s="5">
        <f>1+50*4/59</f>
        <v>4.3898305084745761</v>
      </c>
      <c r="L831" s="5">
        <f t="shared" si="42"/>
        <v>5.1609693688740386</v>
      </c>
      <c r="M831" s="5">
        <f>L831-$B$713*$B$708*SQRT(1/$B$702+(K831-AVERAGE(Данные!$B$2:$B$75))^2/DEVSQ(Данные!$B$2:$B$75))</f>
        <v>4.5557298636236903</v>
      </c>
      <c r="N831" s="5">
        <f>L831+$B$713*$B$708*SQRT(1/$B$702+(K831-AVERAGE(Данные!$B$2:$B$75))^2/DEVSQ(Данные!$B$2:$B$75))</f>
        <v>5.7662088741243869</v>
      </c>
      <c r="O831" s="5"/>
      <c r="P831" s="5"/>
      <c r="Q831" s="5"/>
      <c r="S831">
        <f t="shared" si="43"/>
        <v>4.3898305084745761</v>
      </c>
      <c r="T831">
        <f t="shared" si="44"/>
        <v>4.5557298636236903</v>
      </c>
    </row>
    <row r="832" spans="1:20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>
        <f>1+51*4/59</f>
        <v>4.4576271186440675</v>
      </c>
      <c r="L832" s="5">
        <f t="shared" si="42"/>
        <v>5.1375387250600042</v>
      </c>
      <c r="M832" s="5">
        <f>L832-$B$713*$B$708*SQRT(1/$B$702+(K832-AVERAGE(Данные!$B$2:$B$75))^2/DEVSQ(Данные!$B$2:$B$75))</f>
        <v>4.5133353040844959</v>
      </c>
      <c r="N832" s="5">
        <f>L832+$B$713*$B$708*SQRT(1/$B$702+(K832-AVERAGE(Данные!$B$2:$B$75))^2/DEVSQ(Данные!$B$2:$B$75))</f>
        <v>5.7617421460355125</v>
      </c>
      <c r="O832" s="5"/>
      <c r="P832" s="5"/>
      <c r="Q832" s="5"/>
      <c r="S832">
        <f t="shared" si="43"/>
        <v>4.4576271186440675</v>
      </c>
      <c r="T832">
        <f t="shared" si="44"/>
        <v>4.5133353040844959</v>
      </c>
    </row>
    <row r="833" spans="1:20" x14ac:dyDescent="0.25">
      <c r="A833" s="5">
        <v>2</v>
      </c>
      <c r="B833" s="5">
        <f>F785</f>
        <v>7</v>
      </c>
      <c r="C833" s="5"/>
      <c r="D833" s="5"/>
      <c r="E833" s="5"/>
      <c r="F833" s="5"/>
      <c r="G833" s="5"/>
      <c r="H833" s="5"/>
      <c r="I833" s="5"/>
      <c r="J833" s="5"/>
      <c r="K833" s="5">
        <f>1+52*4/59</f>
        <v>4.5254237288135588</v>
      </c>
      <c r="L833" s="5">
        <f t="shared" si="42"/>
        <v>5.1141080812459689</v>
      </c>
      <c r="M833" s="5">
        <f>L833-$B$713*$B$708*SQRT(1/$B$702+(K833-AVERAGE(Данные!$B$2:$B$75))^2/DEVSQ(Данные!$B$2:$B$75))</f>
        <v>4.4705464023261818</v>
      </c>
      <c r="N833" s="5">
        <f>L833+$B$713*$B$708*SQRT(1/$B$702+(K833-AVERAGE(Данные!$B$2:$B$75))^2/DEVSQ(Данные!$B$2:$B$75))</f>
        <v>5.757669760165756</v>
      </c>
      <c r="O833" s="5"/>
      <c r="P833" s="5"/>
      <c r="Q833" s="5"/>
      <c r="S833">
        <f t="shared" si="43"/>
        <v>4.5254237288135588</v>
      </c>
      <c r="T833">
        <f t="shared" si="44"/>
        <v>4.4705464023261818</v>
      </c>
    </row>
    <row r="834" spans="1:20" x14ac:dyDescent="0.25">
      <c r="A834" s="5">
        <v>2</v>
      </c>
      <c r="B834" s="5">
        <f>F790</f>
        <v>8</v>
      </c>
      <c r="C834" s="5"/>
      <c r="D834" s="5"/>
      <c r="E834" s="5"/>
      <c r="F834" s="5"/>
      <c r="G834" s="5"/>
      <c r="H834" s="5"/>
      <c r="I834" s="5"/>
      <c r="J834" s="5"/>
      <c r="K834" s="5">
        <f>1+53*4/59</f>
        <v>4.593220338983051</v>
      </c>
      <c r="L834" s="5">
        <f t="shared" si="42"/>
        <v>5.0906774374319337</v>
      </c>
      <c r="M834" s="5">
        <f>L834-$B$713*$B$708*SQRT(1/$B$702+(K834-AVERAGE(Данные!$B$2:$B$75))^2/DEVSQ(Данные!$B$2:$B$75))</f>
        <v>4.4273976848649879</v>
      </c>
      <c r="N834" s="5">
        <f>L834+$B$713*$B$708*SQRT(1/$B$702+(K834-AVERAGE(Данные!$B$2:$B$75))^2/DEVSQ(Данные!$B$2:$B$75))</f>
        <v>5.7539571899988795</v>
      </c>
      <c r="O834" s="5"/>
      <c r="P834" s="5"/>
      <c r="Q834" s="5"/>
      <c r="S834">
        <f t="shared" si="43"/>
        <v>4.593220338983051</v>
      </c>
      <c r="T834">
        <f t="shared" si="44"/>
        <v>4.4273976848649879</v>
      </c>
    </row>
    <row r="835" spans="1:20" x14ac:dyDescent="0.25">
      <c r="A835" s="5">
        <v>1.87</v>
      </c>
      <c r="B835" s="5">
        <f>F790</f>
        <v>8</v>
      </c>
      <c r="C835" s="5"/>
      <c r="D835" s="5"/>
      <c r="E835" s="5"/>
      <c r="F835" s="5"/>
      <c r="G835" s="5"/>
      <c r="H835" s="5"/>
      <c r="I835" s="5"/>
      <c r="J835" s="5"/>
      <c r="K835" s="5">
        <f>1+54*4/59</f>
        <v>4.6610169491525424</v>
      </c>
      <c r="L835" s="5">
        <f t="shared" si="42"/>
        <v>5.0672467936178984</v>
      </c>
      <c r="M835" s="5">
        <f>L835-$B$713*$B$708*SQRT(1/$B$702+(K835-AVERAGE(Данные!$B$2:$B$75))^2/DEVSQ(Данные!$B$2:$B$75))</f>
        <v>4.3839202995236271</v>
      </c>
      <c r="N835" s="5">
        <f>L835+$B$713*$B$708*SQRT(1/$B$702+(K835-AVERAGE(Данные!$B$2:$B$75))^2/DEVSQ(Данные!$B$2:$B$75))</f>
        <v>5.7505732877121698</v>
      </c>
      <c r="O835" s="5"/>
      <c r="P835" s="5"/>
      <c r="Q835" s="5"/>
      <c r="S835">
        <f t="shared" si="43"/>
        <v>4.6610169491525424</v>
      </c>
      <c r="T835">
        <f t="shared" si="44"/>
        <v>4.3839202995236271</v>
      </c>
    </row>
    <row r="836" spans="1:20" x14ac:dyDescent="0.25">
      <c r="A836" s="5">
        <v>2.13</v>
      </c>
      <c r="B836" s="5">
        <f>F790</f>
        <v>8</v>
      </c>
      <c r="C836" s="5"/>
      <c r="D836" s="5"/>
      <c r="E836" s="5"/>
      <c r="F836" s="5"/>
      <c r="G836" s="5"/>
      <c r="H836" s="5"/>
      <c r="I836" s="5"/>
      <c r="J836" s="5"/>
      <c r="K836" s="5">
        <f>1+55*4/59</f>
        <v>4.7288135593220337</v>
      </c>
      <c r="L836" s="5">
        <f t="shared" si="42"/>
        <v>5.0438161498038632</v>
      </c>
      <c r="M836" s="5">
        <f>L836-$B$713*$B$708*SQRT(1/$B$702+(K836-AVERAGE(Данные!$B$2:$B$75))^2/DEVSQ(Данные!$B$2:$B$75))</f>
        <v>4.3401423356884345</v>
      </c>
      <c r="N836" s="5">
        <f>L836+$B$713*$B$708*SQRT(1/$B$702+(K836-AVERAGE(Данные!$B$2:$B$75))^2/DEVSQ(Данные!$B$2:$B$75))</f>
        <v>5.7474899639192918</v>
      </c>
      <c r="O836" s="5"/>
      <c r="P836" s="5"/>
      <c r="Q836" s="5"/>
      <c r="S836">
        <f t="shared" si="43"/>
        <v>4.7288135593220337</v>
      </c>
      <c r="T836">
        <f t="shared" si="44"/>
        <v>4.3401423356884345</v>
      </c>
    </row>
    <row r="837" spans="1:20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>
        <f>1+56*4/59</f>
        <v>4.796610169491526</v>
      </c>
      <c r="L837" s="5">
        <f t="shared" si="42"/>
        <v>5.0203855059898279</v>
      </c>
      <c r="M837" s="5">
        <f>L837-$B$713*$B$708*SQRT(1/$B$702+(K837-AVERAGE(Данные!$B$2:$B$75))^2/DEVSQ(Данные!$B$2:$B$75))</f>
        <v>4.2960891249502513</v>
      </c>
      <c r="N837" s="5">
        <f>L837+$B$713*$B$708*SQRT(1/$B$702+(K837-AVERAGE(Данные!$B$2:$B$75))^2/DEVSQ(Данные!$B$2:$B$75))</f>
        <v>5.7446818870294045</v>
      </c>
      <c r="O837" s="5"/>
      <c r="P837" s="5"/>
      <c r="Q837" s="5"/>
      <c r="S837">
        <f t="shared" si="43"/>
        <v>4.796610169491526</v>
      </c>
      <c r="T837">
        <f t="shared" si="44"/>
        <v>4.2960891249502513</v>
      </c>
    </row>
    <row r="838" spans="1:20" x14ac:dyDescent="0.25">
      <c r="A838" s="5">
        <v>2.75</v>
      </c>
      <c r="B838" s="5">
        <f>G783</f>
        <v>5</v>
      </c>
      <c r="C838" s="5"/>
      <c r="D838" s="5"/>
      <c r="E838" s="5"/>
      <c r="F838" s="5"/>
      <c r="G838" s="5"/>
      <c r="H838" s="5"/>
      <c r="I838" s="5"/>
      <c r="J838" s="5"/>
      <c r="K838" s="5">
        <f>1+57*4/59</f>
        <v>4.8644067796610173</v>
      </c>
      <c r="L838" s="5">
        <f t="shared" si="42"/>
        <v>4.9969548621757927</v>
      </c>
      <c r="M838" s="5">
        <f>L838-$B$713*$B$708*SQRT(1/$B$702+(K838-AVERAGE(Данные!$B$2:$B$75))^2/DEVSQ(Данные!$B$2:$B$75))</f>
        <v>4.2517835192774056</v>
      </c>
      <c r="N838" s="5">
        <f>L838+$B$713*$B$708*SQRT(1/$B$702+(K838-AVERAGE(Данные!$B$2:$B$75))^2/DEVSQ(Данные!$B$2:$B$75))</f>
        <v>5.7421262050741797</v>
      </c>
      <c r="O838" s="5"/>
      <c r="P838" s="5"/>
      <c r="Q838" s="5"/>
      <c r="S838">
        <f t="shared" si="43"/>
        <v>4.8644067796610173</v>
      </c>
      <c r="T838">
        <f t="shared" si="44"/>
        <v>4.2517835192774056</v>
      </c>
    </row>
    <row r="839" spans="1:20" x14ac:dyDescent="0.25">
      <c r="A839" s="5">
        <v>3.25</v>
      </c>
      <c r="B839" s="5">
        <f>G783</f>
        <v>5</v>
      </c>
      <c r="C839" s="5"/>
      <c r="D839" s="5"/>
      <c r="E839" s="5"/>
      <c r="F839" s="5"/>
      <c r="G839" s="5"/>
      <c r="H839" s="5"/>
      <c r="I839" s="5"/>
      <c r="J839" s="5"/>
      <c r="K839" s="5">
        <f>1+58*4/59</f>
        <v>4.9322033898305087</v>
      </c>
      <c r="L839" s="5">
        <f t="shared" si="42"/>
        <v>4.9735242183617574</v>
      </c>
      <c r="M839" s="5">
        <f>L839-$B$713*$B$708*SQRT(1/$B$702+(K839-AVERAGE(Данные!$B$2:$B$75))^2/DEVSQ(Данные!$B$2:$B$75))</f>
        <v>4.207246145635132</v>
      </c>
      <c r="N839" s="5">
        <f>L839+$B$713*$B$708*SQRT(1/$B$702+(K839-AVERAGE(Данные!$B$2:$B$75))^2/DEVSQ(Данные!$B$2:$B$75))</f>
        <v>5.7398022910883828</v>
      </c>
      <c r="O839" s="5"/>
      <c r="P839" s="5"/>
      <c r="Q839" s="5"/>
      <c r="S839">
        <f t="shared" si="43"/>
        <v>4.9322033898305087</v>
      </c>
      <c r="T839">
        <f t="shared" si="44"/>
        <v>4.207246145635132</v>
      </c>
    </row>
    <row r="840" spans="1:20" x14ac:dyDescent="0.25">
      <c r="A840" s="5">
        <v>3.25</v>
      </c>
      <c r="B840" s="5">
        <f>G785</f>
        <v>7</v>
      </c>
      <c r="C840" s="5"/>
      <c r="D840" s="5"/>
      <c r="E840" s="5"/>
      <c r="F840" s="5"/>
      <c r="G840" s="5"/>
      <c r="H840" s="5"/>
      <c r="I840" s="5"/>
      <c r="J840" s="5"/>
      <c r="K840" s="5">
        <f>1+59*4/59</f>
        <v>5</v>
      </c>
      <c r="L840" s="5">
        <f t="shared" si="42"/>
        <v>4.9500935745477221</v>
      </c>
      <c r="M840" s="5">
        <f>L840-$B$713*$B$708*SQRT(1/$B$702+(K840-AVERAGE(Данные!$B$2:$B$75))^2/DEVSQ(Данные!$B$2:$B$75))</f>
        <v>4.1624956371577353</v>
      </c>
      <c r="N840" s="5">
        <f>L840+$B$713*$B$708*SQRT(1/$B$702+(K840-AVERAGE(Данные!$B$2:$B$75))^2/DEVSQ(Данные!$B$2:$B$75))</f>
        <v>5.737691511937709</v>
      </c>
      <c r="O840" s="5"/>
      <c r="P840" s="5"/>
      <c r="Q840" s="5"/>
      <c r="S840">
        <f t="shared" si="43"/>
        <v>5</v>
      </c>
      <c r="T840">
        <f t="shared" si="44"/>
        <v>4.1624956371577353</v>
      </c>
    </row>
    <row r="841" spans="1:20" x14ac:dyDescent="0.25">
      <c r="A841" s="5">
        <v>2.75</v>
      </c>
      <c r="B841" s="5">
        <f>G785</f>
        <v>7</v>
      </c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</row>
    <row r="842" spans="1:20" x14ac:dyDescent="0.25">
      <c r="A842" s="5">
        <v>2.75</v>
      </c>
      <c r="B842" s="5">
        <f>G783</f>
        <v>5</v>
      </c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S842">
        <f t="shared" ref="S842:S873" si="45">K781</f>
        <v>1</v>
      </c>
      <c r="T842">
        <f t="shared" ref="T842:T873" si="46">N781</f>
        <v>7.206897790896944</v>
      </c>
    </row>
    <row r="843" spans="1:20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S843">
        <f t="shared" si="45"/>
        <v>1.0677966101694916</v>
      </c>
      <c r="T843">
        <f t="shared" si="46"/>
        <v>7.1614500759106665</v>
      </c>
    </row>
    <row r="844" spans="1:20" x14ac:dyDescent="0.25">
      <c r="A844" s="5">
        <v>2.75</v>
      </c>
      <c r="B844" s="5">
        <f>G784</f>
        <v>6</v>
      </c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S844">
        <f t="shared" si="45"/>
        <v>1.1355932203389831</v>
      </c>
      <c r="T844">
        <f t="shared" si="46"/>
        <v>7.1161571999741016</v>
      </c>
    </row>
    <row r="845" spans="1:20" x14ac:dyDescent="0.25">
      <c r="A845" s="5">
        <v>3.25</v>
      </c>
      <c r="B845" s="5">
        <f>G784</f>
        <v>6</v>
      </c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 t="s">
        <v>69</v>
      </c>
      <c r="P845" s="5" t="s">
        <v>70</v>
      </c>
      <c r="Q845" s="5" t="s">
        <v>71</v>
      </c>
      <c r="S845">
        <f t="shared" si="45"/>
        <v>1.2033898305084745</v>
      </c>
      <c r="T845">
        <f t="shared" si="46"/>
        <v>7.0710317189517324</v>
      </c>
    </row>
    <row r="846" spans="1:20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>
        <v>0</v>
      </c>
      <c r="P846" s="5">
        <v>10</v>
      </c>
      <c r="Q846" s="5">
        <v>5</v>
      </c>
      <c r="S846">
        <f t="shared" si="45"/>
        <v>1.271186440677966</v>
      </c>
      <c r="T846">
        <f t="shared" si="46"/>
        <v>7.0260874710177568</v>
      </c>
    </row>
    <row r="847" spans="1:20" x14ac:dyDescent="0.25">
      <c r="A847" s="5">
        <v>2.87</v>
      </c>
      <c r="B847" s="5">
        <f>G789</f>
        <v>2</v>
      </c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>
        <f t="shared" ref="O847:O880" si="47">IF(TDIST(Q846,$B$710,2)&gt;0.05,Q846,O846)</f>
        <v>0</v>
      </c>
      <c r="P847" s="5">
        <f t="shared" ref="P847:P880" si="48">IF(TDIST(Q846,$B$710,2)&gt;0.05,P846,Q846)</f>
        <v>5</v>
      </c>
      <c r="Q847" s="5">
        <f t="shared" ref="Q847:Q880" si="49">(O847+P847)/2</f>
        <v>2.5</v>
      </c>
      <c r="S847">
        <f t="shared" si="45"/>
        <v>1.3389830508474576</v>
      </c>
      <c r="T847">
        <f t="shared" si="46"/>
        <v>6.9813397266406909</v>
      </c>
    </row>
    <row r="848" spans="1:20" x14ac:dyDescent="0.25">
      <c r="A848" s="5">
        <v>3.13</v>
      </c>
      <c r="B848" s="5">
        <f>G789</f>
        <v>2</v>
      </c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>
        <f t="shared" si="47"/>
        <v>0</v>
      </c>
      <c r="P848" s="5">
        <f t="shared" si="48"/>
        <v>2.5</v>
      </c>
      <c r="Q848" s="5">
        <f t="shared" si="49"/>
        <v>1.25</v>
      </c>
      <c r="S848">
        <f t="shared" si="45"/>
        <v>1.4067796610169492</v>
      </c>
      <c r="T848">
        <f t="shared" si="46"/>
        <v>6.9368053565531822</v>
      </c>
    </row>
    <row r="849" spans="1:20" x14ac:dyDescent="0.25">
      <c r="A849" s="5">
        <v>3</v>
      </c>
      <c r="B849" s="5">
        <f>G789</f>
        <v>2</v>
      </c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>
        <f t="shared" si="47"/>
        <v>1.25</v>
      </c>
      <c r="P849" s="5">
        <f t="shared" si="48"/>
        <v>2.5</v>
      </c>
      <c r="Q849" s="5">
        <f t="shared" si="49"/>
        <v>1.875</v>
      </c>
      <c r="S849">
        <f t="shared" si="45"/>
        <v>1.4745762711864407</v>
      </c>
      <c r="T849">
        <f t="shared" si="46"/>
        <v>6.8925030193932972</v>
      </c>
    </row>
    <row r="850" spans="1:20" x14ac:dyDescent="0.25">
      <c r="A850" s="5">
        <v>3</v>
      </c>
      <c r="B850" s="5">
        <f>G783</f>
        <v>5</v>
      </c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>
        <f t="shared" si="47"/>
        <v>1.875</v>
      </c>
      <c r="P850" s="5">
        <f t="shared" si="48"/>
        <v>2.5</v>
      </c>
      <c r="Q850" s="5">
        <f t="shared" si="49"/>
        <v>2.1875</v>
      </c>
      <c r="S850">
        <f t="shared" si="45"/>
        <v>1.5423728813559321</v>
      </c>
      <c r="T850">
        <f t="shared" si="46"/>
        <v>6.8484533706009261</v>
      </c>
    </row>
    <row r="851" spans="1:20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>
        <f t="shared" si="47"/>
        <v>1.875</v>
      </c>
      <c r="P851" s="5">
        <f t="shared" si="48"/>
        <v>2.1875</v>
      </c>
      <c r="Q851" s="5">
        <f t="shared" si="49"/>
        <v>2.03125</v>
      </c>
      <c r="S851">
        <f t="shared" si="45"/>
        <v>1.6101694915254239</v>
      </c>
      <c r="T851">
        <f t="shared" si="46"/>
        <v>6.8046792939023089</v>
      </c>
    </row>
    <row r="852" spans="1:20" x14ac:dyDescent="0.25">
      <c r="A852" s="5">
        <v>3</v>
      </c>
      <c r="B852" s="5">
        <f>G785</f>
        <v>7</v>
      </c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>
        <f t="shared" si="47"/>
        <v>1.875</v>
      </c>
      <c r="P852" s="5">
        <f t="shared" si="48"/>
        <v>2.03125</v>
      </c>
      <c r="Q852" s="5">
        <f t="shared" si="49"/>
        <v>1.953125</v>
      </c>
      <c r="S852">
        <f t="shared" si="45"/>
        <v>1.6779661016949152</v>
      </c>
      <c r="T852">
        <f t="shared" si="46"/>
        <v>6.7612061562491839</v>
      </c>
    </row>
    <row r="853" spans="1:20" x14ac:dyDescent="0.25">
      <c r="A853" s="5">
        <v>3</v>
      </c>
      <c r="B853" s="5">
        <f>G790</f>
        <v>9</v>
      </c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>
        <f t="shared" si="47"/>
        <v>1.953125</v>
      </c>
      <c r="P853" s="5">
        <f t="shared" si="48"/>
        <v>2.03125</v>
      </c>
      <c r="Q853" s="5">
        <f t="shared" si="49"/>
        <v>1.9921875</v>
      </c>
      <c r="S853">
        <f t="shared" si="45"/>
        <v>1.7457627118644068</v>
      </c>
      <c r="T853">
        <f t="shared" si="46"/>
        <v>6.7180620863058937</v>
      </c>
    </row>
    <row r="854" spans="1:20" x14ac:dyDescent="0.25">
      <c r="A854" s="5">
        <v>2.87</v>
      </c>
      <c r="B854" s="5">
        <f>G790</f>
        <v>9</v>
      </c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>
        <f t="shared" si="47"/>
        <v>1.9921875</v>
      </c>
      <c r="P854" s="5">
        <f t="shared" si="48"/>
        <v>2.03125</v>
      </c>
      <c r="Q854" s="5">
        <f t="shared" si="49"/>
        <v>2.01171875</v>
      </c>
      <c r="S854">
        <f t="shared" si="45"/>
        <v>1.8135593220338984</v>
      </c>
      <c r="T854">
        <f t="shared" si="46"/>
        <v>6.6752782753790996</v>
      </c>
    </row>
    <row r="855" spans="1:20" x14ac:dyDescent="0.25">
      <c r="A855" s="5">
        <v>3.13</v>
      </c>
      <c r="B855" s="5">
        <f>G790</f>
        <v>9</v>
      </c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>
        <f t="shared" si="47"/>
        <v>1.9921875</v>
      </c>
      <c r="P855" s="5">
        <f t="shared" si="48"/>
        <v>2.01171875</v>
      </c>
      <c r="Q855" s="5">
        <f t="shared" si="49"/>
        <v>2.001953125</v>
      </c>
      <c r="S855">
        <f t="shared" si="45"/>
        <v>1.8813559322033897</v>
      </c>
      <c r="T855">
        <f t="shared" si="46"/>
        <v>6.6328892979098883</v>
      </c>
    </row>
    <row r="856" spans="1:20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>
        <f t="shared" si="47"/>
        <v>1.9921875</v>
      </c>
      <c r="P856" s="5">
        <f t="shared" si="48"/>
        <v>2.001953125</v>
      </c>
      <c r="Q856" s="5">
        <f t="shared" si="49"/>
        <v>1.9970703125</v>
      </c>
      <c r="S856">
        <f t="shared" si="45"/>
        <v>1.9491525423728815</v>
      </c>
      <c r="T856">
        <f t="shared" si="46"/>
        <v>6.5909334461125084</v>
      </c>
    </row>
    <row r="857" spans="1:20" x14ac:dyDescent="0.25">
      <c r="A857" s="5">
        <v>3.75</v>
      </c>
      <c r="B857" s="5">
        <f>H783</f>
        <v>5</v>
      </c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>
        <f t="shared" si="47"/>
        <v>1.9921875</v>
      </c>
      <c r="P857" s="5">
        <f t="shared" si="48"/>
        <v>1.9970703125</v>
      </c>
      <c r="Q857" s="5">
        <f t="shared" si="49"/>
        <v>1.99462890625</v>
      </c>
      <c r="S857">
        <f t="shared" si="45"/>
        <v>2.0169491525423728</v>
      </c>
      <c r="T857">
        <f t="shared" si="46"/>
        <v>6.5494530698343807</v>
      </c>
    </row>
    <row r="858" spans="1:20" x14ac:dyDescent="0.25">
      <c r="A858" s="5">
        <v>4.25</v>
      </c>
      <c r="B858" s="5">
        <f>H783</f>
        <v>5</v>
      </c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>
        <f t="shared" si="47"/>
        <v>1.9921875</v>
      </c>
      <c r="P858" s="5">
        <f t="shared" si="48"/>
        <v>1.99462890625</v>
      </c>
      <c r="Q858" s="5">
        <f t="shared" si="49"/>
        <v>1.993408203125</v>
      </c>
      <c r="S858">
        <f t="shared" si="45"/>
        <v>2.0847457627118642</v>
      </c>
      <c r="T858">
        <f t="shared" si="46"/>
        <v>6.5084949080012979</v>
      </c>
    </row>
    <row r="859" spans="1:20" x14ac:dyDescent="0.25">
      <c r="A859" s="5">
        <v>4.25</v>
      </c>
      <c r="B859" s="5">
        <f>H785</f>
        <v>6</v>
      </c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>
        <f t="shared" si="47"/>
        <v>1.993408203125</v>
      </c>
      <c r="P859" s="5">
        <f t="shared" si="48"/>
        <v>1.99462890625</v>
      </c>
      <c r="Q859" s="5">
        <f t="shared" si="49"/>
        <v>1.9940185546875</v>
      </c>
      <c r="S859">
        <f t="shared" si="45"/>
        <v>2.152542372881356</v>
      </c>
      <c r="T859">
        <f t="shared" si="46"/>
        <v>6.4681103918932674</v>
      </c>
    </row>
    <row r="860" spans="1:20" x14ac:dyDescent="0.25">
      <c r="A860" s="5">
        <v>3.75</v>
      </c>
      <c r="B860" s="5">
        <f>H785</f>
        <v>6</v>
      </c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>
        <f t="shared" si="47"/>
        <v>1.993408203125</v>
      </c>
      <c r="P860" s="5">
        <f t="shared" si="48"/>
        <v>1.9940185546875</v>
      </c>
      <c r="Q860" s="5">
        <f t="shared" si="49"/>
        <v>1.99371337890625</v>
      </c>
      <c r="S860">
        <f t="shared" si="45"/>
        <v>2.2203389830508478</v>
      </c>
      <c r="T860">
        <f t="shared" si="46"/>
        <v>6.4283558928474811</v>
      </c>
    </row>
    <row r="861" spans="1:20" x14ac:dyDescent="0.25">
      <c r="A861" s="5">
        <v>3.75</v>
      </c>
      <c r="B861" s="5">
        <f>H783</f>
        <v>5</v>
      </c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>
        <f t="shared" si="47"/>
        <v>1.993408203125</v>
      </c>
      <c r="P861" s="5">
        <f t="shared" si="48"/>
        <v>1.99371337890625</v>
      </c>
      <c r="Q861" s="5">
        <f t="shared" si="49"/>
        <v>1.993560791015625</v>
      </c>
      <c r="S861">
        <f t="shared" si="45"/>
        <v>2.2881355932203391</v>
      </c>
      <c r="T861">
        <f t="shared" si="46"/>
        <v>6.3892928778695275</v>
      </c>
    </row>
    <row r="862" spans="1:20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>
        <f t="shared" si="47"/>
        <v>1.993408203125</v>
      </c>
      <c r="P862" s="5">
        <f t="shared" si="48"/>
        <v>1.993560791015625</v>
      </c>
      <c r="Q862" s="5">
        <f t="shared" si="49"/>
        <v>1.9934844970703125</v>
      </c>
      <c r="S862">
        <f t="shared" si="45"/>
        <v>2.3559322033898304</v>
      </c>
      <c r="T862">
        <f t="shared" si="46"/>
        <v>6.3509879264576856</v>
      </c>
    </row>
    <row r="863" spans="1:20" x14ac:dyDescent="0.25">
      <c r="A863" s="5">
        <v>3.75</v>
      </c>
      <c r="B863" s="5">
        <f>H784</f>
        <v>5</v>
      </c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>
        <f t="shared" si="47"/>
        <v>1.993408203125</v>
      </c>
      <c r="P863" s="5">
        <f t="shared" si="48"/>
        <v>1.9934844970703125</v>
      </c>
      <c r="Q863" s="5">
        <f t="shared" si="49"/>
        <v>1.9934463500976563</v>
      </c>
      <c r="S863">
        <f t="shared" si="45"/>
        <v>2.4237288135593218</v>
      </c>
      <c r="T863">
        <f t="shared" si="46"/>
        <v>6.3135125516578503</v>
      </c>
    </row>
    <row r="864" spans="1:20" x14ac:dyDescent="0.25">
      <c r="A864" s="5">
        <v>4.25</v>
      </c>
      <c r="B864" s="5">
        <f>H784</f>
        <v>5</v>
      </c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>
        <f t="shared" si="47"/>
        <v>1.9934463500976563</v>
      </c>
      <c r="P864" s="5">
        <f t="shared" si="48"/>
        <v>1.9934844970703125</v>
      </c>
      <c r="Q864" s="5">
        <f t="shared" si="49"/>
        <v>1.9934654235839844</v>
      </c>
      <c r="S864">
        <f t="shared" si="45"/>
        <v>2.4915254237288136</v>
      </c>
      <c r="T864">
        <f t="shared" si="46"/>
        <v>6.2769427596925818</v>
      </c>
    </row>
    <row r="865" spans="1:20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>
        <f t="shared" si="47"/>
        <v>1.9934463500976563</v>
      </c>
      <c r="P865" s="5">
        <f t="shared" si="48"/>
        <v>1.9934654235839844</v>
      </c>
      <c r="Q865" s="5">
        <f t="shared" si="49"/>
        <v>1.9934558868408203</v>
      </c>
      <c r="S865">
        <f t="shared" si="45"/>
        <v>2.5593220338983054</v>
      </c>
      <c r="T865">
        <f t="shared" si="46"/>
        <v>6.2413582781338723</v>
      </c>
    </row>
    <row r="866" spans="1:20" x14ac:dyDescent="0.25">
      <c r="A866" s="5">
        <v>3.87</v>
      </c>
      <c r="B866" s="5">
        <f>H789</f>
        <v>4</v>
      </c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>
        <f t="shared" si="47"/>
        <v>1.9934558868408203</v>
      </c>
      <c r="P866" s="5">
        <f t="shared" si="48"/>
        <v>1.9934654235839844</v>
      </c>
      <c r="Q866" s="5">
        <f t="shared" si="49"/>
        <v>1.9934606552124023</v>
      </c>
      <c r="S866">
        <f t="shared" si="45"/>
        <v>2.6271186440677967</v>
      </c>
      <c r="T866">
        <f t="shared" si="46"/>
        <v>6.2068413861835943</v>
      </c>
    </row>
    <row r="867" spans="1:20" x14ac:dyDescent="0.25">
      <c r="A867" s="5">
        <v>4.13</v>
      </c>
      <c r="B867" s="5">
        <f>H789</f>
        <v>4</v>
      </c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>
        <f t="shared" si="47"/>
        <v>1.9934606552124023</v>
      </c>
      <c r="P867" s="5">
        <f t="shared" si="48"/>
        <v>1.9934654235839844</v>
      </c>
      <c r="Q867" s="5">
        <f t="shared" si="49"/>
        <v>1.9934630393981934</v>
      </c>
      <c r="S867">
        <f t="shared" si="45"/>
        <v>2.6949152542372881</v>
      </c>
      <c r="T867">
        <f t="shared" si="46"/>
        <v>6.1734752964912509</v>
      </c>
    </row>
    <row r="868" spans="1:20" x14ac:dyDescent="0.25">
      <c r="A868" s="5">
        <v>4</v>
      </c>
      <c r="B868" s="5">
        <f>H789</f>
        <v>4</v>
      </c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>
        <f t="shared" si="47"/>
        <v>1.9934630393981934</v>
      </c>
      <c r="P868" s="5">
        <f t="shared" si="48"/>
        <v>1.9934654235839844</v>
      </c>
      <c r="Q868" s="5">
        <f t="shared" si="49"/>
        <v>1.9934642314910889</v>
      </c>
      <c r="S868">
        <f t="shared" si="45"/>
        <v>2.7627118644067794</v>
      </c>
      <c r="T868">
        <f t="shared" si="46"/>
        <v>6.1413420700877293</v>
      </c>
    </row>
    <row r="869" spans="1:20" x14ac:dyDescent="0.25">
      <c r="A869" s="5">
        <v>4</v>
      </c>
      <c r="B869" s="5">
        <f>H783</f>
        <v>5</v>
      </c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>
        <f t="shared" si="47"/>
        <v>1.9934630393981934</v>
      </c>
      <c r="P869" s="5">
        <f t="shared" si="48"/>
        <v>1.9934642314910889</v>
      </c>
      <c r="Q869" s="5">
        <f t="shared" si="49"/>
        <v>1.9934636354446411</v>
      </c>
      <c r="S869">
        <f t="shared" si="45"/>
        <v>2.8305084745762712</v>
      </c>
      <c r="T869">
        <f t="shared" si="46"/>
        <v>6.1105200965409674</v>
      </c>
    </row>
    <row r="870" spans="1:20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>
        <f t="shared" si="47"/>
        <v>1.9934630393981934</v>
      </c>
      <c r="P870" s="5">
        <f t="shared" si="48"/>
        <v>1.9934636354446411</v>
      </c>
      <c r="Q870" s="5">
        <f t="shared" si="49"/>
        <v>1.9934633374214172</v>
      </c>
      <c r="S870">
        <f t="shared" si="45"/>
        <v>2.898305084745763</v>
      </c>
      <c r="T870">
        <f t="shared" si="46"/>
        <v>6.0810812383798183</v>
      </c>
    </row>
    <row r="871" spans="1:20" x14ac:dyDescent="0.25">
      <c r="A871" s="5">
        <v>4</v>
      </c>
      <c r="B871" s="5">
        <f>H785</f>
        <v>6</v>
      </c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>
        <f t="shared" si="47"/>
        <v>1.9934633374214172</v>
      </c>
      <c r="P871" s="5">
        <f t="shared" si="48"/>
        <v>1.9934636354446411</v>
      </c>
      <c r="Q871" s="5">
        <f t="shared" si="49"/>
        <v>1.9934634864330292</v>
      </c>
      <c r="S871">
        <f t="shared" si="45"/>
        <v>2.9661016949152543</v>
      </c>
      <c r="T871">
        <f t="shared" si="46"/>
        <v>6.0530878141884816</v>
      </c>
    </row>
    <row r="872" spans="1:20" x14ac:dyDescent="0.25">
      <c r="A872" s="5">
        <v>4</v>
      </c>
      <c r="B872" s="5">
        <f>H790</f>
        <v>7</v>
      </c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>
        <f t="shared" si="47"/>
        <v>1.9934634864330292</v>
      </c>
      <c r="P872" s="5">
        <f t="shared" si="48"/>
        <v>1.9934636354446411</v>
      </c>
      <c r="Q872" s="5">
        <f t="shared" si="49"/>
        <v>1.9934635609388351</v>
      </c>
      <c r="S872">
        <f t="shared" si="45"/>
        <v>3.0338983050847457</v>
      </c>
      <c r="T872">
        <f t="shared" si="46"/>
        <v>6.0265896639304906</v>
      </c>
    </row>
    <row r="873" spans="1:20" x14ac:dyDescent="0.25">
      <c r="A873" s="5">
        <v>3.87</v>
      </c>
      <c r="B873" s="5">
        <f>H790</f>
        <v>7</v>
      </c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>
        <f t="shared" si="47"/>
        <v>1.9934635609388351</v>
      </c>
      <c r="P873" s="5">
        <f t="shared" si="48"/>
        <v>1.9934636354446411</v>
      </c>
      <c r="Q873" s="5">
        <f t="shared" si="49"/>
        <v>1.9934635981917381</v>
      </c>
      <c r="S873">
        <f t="shared" si="45"/>
        <v>3.1016949152542375</v>
      </c>
      <c r="T873">
        <f t="shared" si="46"/>
        <v>6.0016215839071432</v>
      </c>
    </row>
    <row r="874" spans="1:20" x14ac:dyDescent="0.25">
      <c r="A874" s="5">
        <v>4.13</v>
      </c>
      <c r="B874" s="5">
        <f>H790</f>
        <v>7</v>
      </c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>
        <f t="shared" si="47"/>
        <v>1.9934635609388351</v>
      </c>
      <c r="P874" s="5">
        <f t="shared" si="48"/>
        <v>1.9934635981917381</v>
      </c>
      <c r="Q874" s="5">
        <f t="shared" si="49"/>
        <v>1.9934635795652866</v>
      </c>
      <c r="S874">
        <f t="shared" ref="S874:S905" si="50">K813</f>
        <v>3.1694915254237288</v>
      </c>
      <c r="T874">
        <f t="shared" ref="T874:T905" si="51">N813</f>
        <v>5.9782014190338106</v>
      </c>
    </row>
    <row r="875" spans="1:20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>
        <f t="shared" si="47"/>
        <v>1.9934635609388351</v>
      </c>
      <c r="P875" s="5">
        <f t="shared" si="48"/>
        <v>1.9934635795652866</v>
      </c>
      <c r="Q875" s="5">
        <f t="shared" si="49"/>
        <v>1.9934635702520609</v>
      </c>
      <c r="S875">
        <f t="shared" si="50"/>
        <v>3.2372881355932202</v>
      </c>
      <c r="T875">
        <f t="shared" si="51"/>
        <v>5.9563290467493371</v>
      </c>
    </row>
    <row r="876" spans="1:20" x14ac:dyDescent="0.25">
      <c r="A876" s="5">
        <v>4.75</v>
      </c>
      <c r="B876" s="5">
        <f>I783</f>
        <v>3.5</v>
      </c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>
        <f t="shared" si="47"/>
        <v>1.9934635609388351</v>
      </c>
      <c r="P876" s="5">
        <f t="shared" si="48"/>
        <v>1.9934635702520609</v>
      </c>
      <c r="Q876" s="5">
        <f t="shared" si="49"/>
        <v>1.993463565595448</v>
      </c>
      <c r="S876">
        <f t="shared" si="50"/>
        <v>3.3050847457627119</v>
      </c>
      <c r="T876">
        <f t="shared" si="51"/>
        <v>5.9359863840824492</v>
      </c>
    </row>
    <row r="877" spans="1:20" x14ac:dyDescent="0.25">
      <c r="A877" s="5">
        <v>5.25</v>
      </c>
      <c r="B877" s="5">
        <f>I783</f>
        <v>3.5</v>
      </c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>
        <f t="shared" si="47"/>
        <v>1.993463565595448</v>
      </c>
      <c r="P877" s="5">
        <f t="shared" si="48"/>
        <v>1.9934635702520609</v>
      </c>
      <c r="Q877" s="5">
        <f t="shared" si="49"/>
        <v>1.9934635679237545</v>
      </c>
      <c r="S877">
        <f t="shared" si="50"/>
        <v>3.3728813559322033</v>
      </c>
      <c r="T877">
        <f t="shared" si="51"/>
        <v>5.917138416944753</v>
      </c>
    </row>
    <row r="878" spans="1:20" x14ac:dyDescent="0.25">
      <c r="A878" s="5">
        <v>5.25</v>
      </c>
      <c r="B878" s="5">
        <f>I785</f>
        <v>5.75</v>
      </c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>
        <f t="shared" si="47"/>
        <v>1.993463565595448</v>
      </c>
      <c r="P878" s="5">
        <f t="shared" si="48"/>
        <v>1.9934635679237545</v>
      </c>
      <c r="Q878" s="5">
        <f t="shared" si="49"/>
        <v>1.9934635667596012</v>
      </c>
      <c r="S878">
        <f t="shared" si="50"/>
        <v>3.4406779661016951</v>
      </c>
      <c r="T878">
        <f t="shared" si="51"/>
        <v>5.8997351184799554</v>
      </c>
    </row>
    <row r="879" spans="1:20" x14ac:dyDescent="0.25">
      <c r="A879" s="5">
        <v>4.75</v>
      </c>
      <c r="B879" s="5">
        <f>I785</f>
        <v>5.75</v>
      </c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>
        <f t="shared" si="47"/>
        <v>1.993463565595448</v>
      </c>
      <c r="P879" s="5">
        <f t="shared" si="48"/>
        <v>1.9934635667596012</v>
      </c>
      <c r="Q879" s="5">
        <f t="shared" si="49"/>
        <v>1.9934635661775246</v>
      </c>
      <c r="S879">
        <f t="shared" si="50"/>
        <v>3.5084745762711864</v>
      </c>
      <c r="T879">
        <f t="shared" si="51"/>
        <v>5.883714021075634</v>
      </c>
    </row>
    <row r="880" spans="1:20" x14ac:dyDescent="0.25">
      <c r="A880" s="5">
        <v>4.75</v>
      </c>
      <c r="B880" s="5">
        <f>I783</f>
        <v>3.5</v>
      </c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>
        <f t="shared" si="47"/>
        <v>1.9934635661775246</v>
      </c>
      <c r="P880" s="5">
        <f t="shared" si="48"/>
        <v>1.9934635667596012</v>
      </c>
      <c r="Q880" s="5">
        <f t="shared" si="49"/>
        <v>1.9934635664685629</v>
      </c>
      <c r="S880">
        <f t="shared" si="50"/>
        <v>3.5762711864406778</v>
      </c>
      <c r="T880">
        <f t="shared" si="51"/>
        <v>5.8690031540090066</v>
      </c>
    </row>
    <row r="881" spans="1:20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S881">
        <f t="shared" si="50"/>
        <v>3.6440677966101696</v>
      </c>
      <c r="T881">
        <f t="shared" si="51"/>
        <v>5.8555240596593077</v>
      </c>
    </row>
    <row r="882" spans="1:20" x14ac:dyDescent="0.25">
      <c r="A882" s="5">
        <v>4.75</v>
      </c>
      <c r="B882" s="5">
        <f>I784</f>
        <v>5</v>
      </c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S882">
        <f t="shared" si="50"/>
        <v>3.7118644067796609</v>
      </c>
      <c r="T882">
        <f t="shared" si="51"/>
        <v>5.8431946455387607</v>
      </c>
    </row>
    <row r="883" spans="1:20" x14ac:dyDescent="0.25">
      <c r="A883" s="5">
        <v>5.25</v>
      </c>
      <c r="B883" s="5">
        <f>I784</f>
        <v>5</v>
      </c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S883">
        <f t="shared" si="50"/>
        <v>3.7796610169491527</v>
      </c>
      <c r="T883">
        <f t="shared" si="51"/>
        <v>5.8319316987564385</v>
      </c>
    </row>
    <row r="884" spans="1:20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S884">
        <f t="shared" si="50"/>
        <v>3.847457627118644</v>
      </c>
      <c r="T884">
        <f t="shared" si="51"/>
        <v>5.8216529648550539</v>
      </c>
    </row>
    <row r="885" spans="1:20" x14ac:dyDescent="0.25">
      <c r="A885" s="5">
        <v>4.87</v>
      </c>
      <c r="B885" s="5">
        <f>I789</f>
        <v>2</v>
      </c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S885">
        <f t="shared" si="50"/>
        <v>3.9152542372881354</v>
      </c>
      <c r="T885">
        <f t="shared" si="51"/>
        <v>5.8122787597174144</v>
      </c>
    </row>
    <row r="886" spans="1:20" x14ac:dyDescent="0.25">
      <c r="A886" s="5">
        <v>5.13</v>
      </c>
      <c r="B886" s="5">
        <f>I789</f>
        <v>2</v>
      </c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S886">
        <f t="shared" si="50"/>
        <v>3.9830508474576272</v>
      </c>
      <c r="T886">
        <f t="shared" si="51"/>
        <v>5.8037331335196134</v>
      </c>
    </row>
    <row r="887" spans="1:20" x14ac:dyDescent="0.25">
      <c r="A887" s="5">
        <v>5</v>
      </c>
      <c r="B887" s="5">
        <f>I789</f>
        <v>2</v>
      </c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S887">
        <f t="shared" si="50"/>
        <v>4.0508474576271185</v>
      </c>
      <c r="T887">
        <f t="shared" si="51"/>
        <v>5.7959446376164703</v>
      </c>
    </row>
    <row r="888" spans="1:20" x14ac:dyDescent="0.25">
      <c r="A888" s="5">
        <v>5</v>
      </c>
      <c r="B888" s="5">
        <f>I783</f>
        <v>3.5</v>
      </c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S888">
        <f t="shared" si="50"/>
        <v>4.1186440677966107</v>
      </c>
      <c r="T888">
        <f t="shared" si="51"/>
        <v>5.7888467609157122</v>
      </c>
    </row>
    <row r="889" spans="1:20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S889">
        <f t="shared" si="50"/>
        <v>4.1864406779661021</v>
      </c>
      <c r="T889">
        <f t="shared" si="51"/>
        <v>5.7823781057560453</v>
      </c>
    </row>
    <row r="890" spans="1:20" x14ac:dyDescent="0.25">
      <c r="A890" s="5">
        <v>5</v>
      </c>
      <c r="B890" s="5">
        <f>I785</f>
        <v>5.75</v>
      </c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S890">
        <f t="shared" si="50"/>
        <v>4.2542372881355934</v>
      </c>
      <c r="T890">
        <f t="shared" si="51"/>
        <v>5.7764823688498899</v>
      </c>
    </row>
    <row r="891" spans="1:20" x14ac:dyDescent="0.25">
      <c r="A891" s="5">
        <v>5</v>
      </c>
      <c r="B891" s="5">
        <f>I790</f>
        <v>7</v>
      </c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S891">
        <f t="shared" si="50"/>
        <v>4.3220338983050848</v>
      </c>
      <c r="T891">
        <f t="shared" si="51"/>
        <v>5.7711081841400587</v>
      </c>
    </row>
    <row r="892" spans="1:20" x14ac:dyDescent="0.25">
      <c r="A892" s="5">
        <v>4.87</v>
      </c>
      <c r="B892" s="5">
        <f>I790</f>
        <v>7</v>
      </c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S892">
        <f t="shared" si="50"/>
        <v>4.3898305084745761</v>
      </c>
      <c r="T892">
        <f t="shared" si="51"/>
        <v>5.7662088741243869</v>
      </c>
    </row>
    <row r="893" spans="1:20" x14ac:dyDescent="0.25">
      <c r="A893" s="5">
        <v>5.13</v>
      </c>
      <c r="B893" s="5">
        <f>I790</f>
        <v>7</v>
      </c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S893">
        <f t="shared" si="50"/>
        <v>4.4576271186440675</v>
      </c>
      <c r="T893">
        <f t="shared" si="51"/>
        <v>5.7617421460355125</v>
      </c>
    </row>
    <row r="894" spans="1:20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S894">
        <f t="shared" si="50"/>
        <v>4.5254237288135588</v>
      </c>
      <c r="T894">
        <f t="shared" si="51"/>
        <v>5.757669760165756</v>
      </c>
    </row>
    <row r="895" spans="1:20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S895">
        <f t="shared" si="50"/>
        <v>4.593220338983051</v>
      </c>
      <c r="T895">
        <f t="shared" si="51"/>
        <v>5.7539571899988795</v>
      </c>
    </row>
    <row r="896" spans="1:20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S896">
        <f t="shared" si="50"/>
        <v>4.6610169491525424</v>
      </c>
      <c r="T896">
        <f t="shared" si="51"/>
        <v>5.7505732877121698</v>
      </c>
    </row>
    <row r="897" spans="1:20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S897">
        <f t="shared" si="50"/>
        <v>4.7288135593220337</v>
      </c>
      <c r="T897">
        <f t="shared" si="51"/>
        <v>5.7474899639192918</v>
      </c>
    </row>
    <row r="898" spans="1:20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S898">
        <f t="shared" si="50"/>
        <v>4.796610169491526</v>
      </c>
      <c r="T898">
        <f t="shared" si="51"/>
        <v>5.7446818870294045</v>
      </c>
    </row>
    <row r="899" spans="1:20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S899">
        <f t="shared" si="50"/>
        <v>4.8644067796610173</v>
      </c>
      <c r="T899">
        <f t="shared" si="51"/>
        <v>5.7421262050741797</v>
      </c>
    </row>
    <row r="900" spans="1:20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S900">
        <f t="shared" si="50"/>
        <v>4.9322033898305087</v>
      </c>
      <c r="T900">
        <f t="shared" si="51"/>
        <v>5.7398022910883828</v>
      </c>
    </row>
    <row r="901" spans="1:20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S901">
        <f t="shared" si="50"/>
        <v>5</v>
      </c>
      <c r="T901">
        <f t="shared" si="51"/>
        <v>5.737691511937709</v>
      </c>
    </row>
    <row r="902" spans="1:20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</row>
    <row r="903" spans="1:20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</row>
    <row r="904" spans="1:20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</row>
    <row r="905" spans="1:20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</row>
    <row r="906" spans="1:20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</row>
    <row r="907" spans="1:20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</row>
    <row r="908" spans="1:20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</row>
    <row r="909" spans="1:20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</row>
    <row r="910" spans="1:20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</row>
    <row r="911" spans="1:20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</row>
    <row r="912" spans="1:20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</row>
    <row r="913" spans="1:17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</row>
    <row r="914" spans="1:17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</row>
    <row r="915" spans="1:17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</row>
    <row r="916" spans="1:17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</row>
    <row r="917" spans="1:17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</row>
    <row r="918" spans="1:17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</row>
    <row r="919" spans="1:17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</row>
    <row r="920" spans="1:17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</row>
    <row r="921" spans="1:17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</row>
    <row r="922" spans="1:17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</row>
    <row r="923" spans="1:17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</row>
    <row r="924" spans="1:17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</row>
    <row r="925" spans="1:17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</row>
    <row r="926" spans="1:17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</row>
    <row r="927" spans="1:17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</row>
    <row r="928" spans="1:17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</row>
    <row r="929" spans="1:17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</row>
    <row r="930" spans="1:17" x14ac:dyDescent="0.25">
      <c r="A930" s="6" t="s">
        <v>6</v>
      </c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5"/>
    </row>
    <row r="931" spans="1:17" x14ac:dyDescent="0.25">
      <c r="A931" s="5"/>
      <c r="B931" s="5"/>
      <c r="C931" s="5"/>
      <c r="D931" s="5"/>
      <c r="E931" s="5">
        <v>1</v>
      </c>
      <c r="F931" s="5">
        <v>2</v>
      </c>
      <c r="G931" s="5">
        <v>3</v>
      </c>
      <c r="H931" s="5">
        <v>4</v>
      </c>
      <c r="I931" s="5">
        <v>5</v>
      </c>
      <c r="J931" s="5"/>
      <c r="K931" s="5" t="s">
        <v>35</v>
      </c>
      <c r="L931" s="5" t="s">
        <v>36</v>
      </c>
      <c r="M931" s="5"/>
      <c r="N931" s="5"/>
      <c r="O931" s="5" t="s">
        <v>37</v>
      </c>
      <c r="P931" s="5" t="s">
        <v>38</v>
      </c>
      <c r="Q931" s="5"/>
    </row>
    <row r="932" spans="1:17" x14ac:dyDescent="0.25">
      <c r="A932" s="5" t="s">
        <v>39</v>
      </c>
      <c r="B932" s="7">
        <f>COUNT(Данные!$G$2:$G$75)</f>
        <v>74</v>
      </c>
      <c r="C932" s="5"/>
      <c r="D932" s="5"/>
      <c r="E932" s="5">
        <f>Данные!G2</f>
        <v>10</v>
      </c>
      <c r="F932" s="5">
        <f>Данные!G3</f>
        <v>9</v>
      </c>
      <c r="G932" s="5">
        <f>Данные!G22</f>
        <v>6</v>
      </c>
      <c r="H932" s="5">
        <f>Данные!G21</f>
        <v>5</v>
      </c>
      <c r="I932" s="5">
        <f>Данные!G61</f>
        <v>8</v>
      </c>
      <c r="J932" s="5"/>
      <c r="K932" s="5">
        <f>_xlfn.RANK.AVG(Данные!B2,Данные!$B$2:$B$75,1)</f>
        <v>4</v>
      </c>
      <c r="L932" s="5">
        <f>_xlfn.RANK.AVG(Данные!G2,Данные!$G$2:$G$75,1)</f>
        <v>61.5</v>
      </c>
      <c r="M932" s="5"/>
      <c r="N932" s="5"/>
      <c r="O932" s="5">
        <f>Данные!B2+(-0.105)</f>
        <v>0.89500000000000002</v>
      </c>
      <c r="P932" s="5">
        <f>Данные!G2</f>
        <v>10</v>
      </c>
      <c r="Q932" s="5"/>
    </row>
    <row r="933" spans="1:17" x14ac:dyDescent="0.25">
      <c r="A933" s="5" t="s">
        <v>40</v>
      </c>
      <c r="B933" s="8">
        <f>CORREL(K932:K1005,L932:L1005)</f>
        <v>7.9010348808453701E-2</v>
      </c>
      <c r="C933" s="5"/>
      <c r="D933" s="5"/>
      <c r="E933" s="5">
        <f>Данные!G6</f>
        <v>10</v>
      </c>
      <c r="F933" s="5">
        <f>Данные!G4</f>
        <v>10</v>
      </c>
      <c r="G933" s="5">
        <f>Данные!G23</f>
        <v>11</v>
      </c>
      <c r="H933" s="5">
        <f>Данные!G31</f>
        <v>10</v>
      </c>
      <c r="I933" s="5">
        <f>Данные!G67</f>
        <v>11</v>
      </c>
      <c r="J933" s="5"/>
      <c r="K933" s="5">
        <f>_xlfn.RANK.AVG(Данные!B3,Данные!$B$2:$B$75,1)</f>
        <v>13.5</v>
      </c>
      <c r="L933" s="5">
        <f>_xlfn.RANK.AVG(Данные!G3,Данные!$G$2:$G$75,1)</f>
        <v>48</v>
      </c>
      <c r="M933" s="5"/>
      <c r="N933" s="5"/>
      <c r="O933" s="5">
        <f>Данные!B3+(-0.105)</f>
        <v>1.895</v>
      </c>
      <c r="P933" s="5">
        <f>Данные!G3</f>
        <v>9</v>
      </c>
      <c r="Q933" s="5"/>
    </row>
    <row r="934" spans="1:17" x14ac:dyDescent="0.25">
      <c r="A934" s="5" t="s">
        <v>41</v>
      </c>
      <c r="B934" s="8">
        <f>TDIST(ABS(B933*SQRT((B932-2)/(1-B933^2))),B932-2,2)</f>
        <v>0.50340060935001196</v>
      </c>
      <c r="C934" s="5"/>
      <c r="D934" s="5"/>
      <c r="E934" s="5">
        <f>Данные!G7</f>
        <v>9</v>
      </c>
      <c r="F934" s="5">
        <f>Данные!G5</f>
        <v>9</v>
      </c>
      <c r="G934" s="5">
        <f>Данные!G24</f>
        <v>8</v>
      </c>
      <c r="H934" s="5">
        <f>Данные!G36</f>
        <v>9</v>
      </c>
      <c r="I934" s="5">
        <f>Данные!G68</f>
        <v>9</v>
      </c>
      <c r="J934" s="5"/>
      <c r="K934" s="5">
        <f>_xlfn.RANK.AVG(Данные!B4,Данные!$B$2:$B$75,1)</f>
        <v>13.5</v>
      </c>
      <c r="L934" s="5">
        <f>_xlfn.RANK.AVG(Данные!G4,Данные!$G$2:$G$75,1)</f>
        <v>61.5</v>
      </c>
      <c r="M934" s="5"/>
      <c r="N934" s="5"/>
      <c r="O934" s="5">
        <f>Данные!B4+(-0.105)</f>
        <v>1.895</v>
      </c>
      <c r="P934" s="5">
        <f>Данные!G4</f>
        <v>10</v>
      </c>
      <c r="Q934" s="5"/>
    </row>
    <row r="935" spans="1:17" x14ac:dyDescent="0.25">
      <c r="A935" s="5" t="s">
        <v>42</v>
      </c>
      <c r="B935" s="8"/>
      <c r="C935" s="5"/>
      <c r="D935" s="5"/>
      <c r="E935" s="5">
        <f>Данные!G8</f>
        <v>5</v>
      </c>
      <c r="F935" s="5">
        <f>Данные!G9</f>
        <v>9</v>
      </c>
      <c r="G935" s="5">
        <f>Данные!G25</f>
        <v>10</v>
      </c>
      <c r="H935" s="5">
        <f>Данные!G39</f>
        <v>7</v>
      </c>
      <c r="I935" s="5">
        <f>Данные!G71</f>
        <v>8</v>
      </c>
      <c r="J935" s="5"/>
      <c r="K935" s="5">
        <f>_xlfn.RANK.AVG(Данные!B5,Данные!$B$2:$B$75,1)</f>
        <v>13.5</v>
      </c>
      <c r="L935" s="5">
        <f>_xlfn.RANK.AVG(Данные!G5,Данные!$G$2:$G$75,1)</f>
        <v>48</v>
      </c>
      <c r="M935" s="5"/>
      <c r="N935" s="5"/>
      <c r="O935" s="5">
        <f>Данные!B5+(-0.07)</f>
        <v>1.93</v>
      </c>
      <c r="P935" s="5">
        <f>Данные!G5</f>
        <v>9</v>
      </c>
      <c r="Q935" s="5"/>
    </row>
    <row r="936" spans="1:17" x14ac:dyDescent="0.25">
      <c r="A936" s="5" t="s">
        <v>43</v>
      </c>
      <c r="B936" s="8"/>
      <c r="C936" s="5"/>
      <c r="D936" s="5"/>
      <c r="E936" s="5">
        <f>Данные!G11</f>
        <v>8</v>
      </c>
      <c r="F936" s="5">
        <f>Данные!G10</f>
        <v>8</v>
      </c>
      <c r="G936" s="5">
        <f>Данные!G26</f>
        <v>11</v>
      </c>
      <c r="H936" s="5">
        <f>Данные!G41</f>
        <v>11</v>
      </c>
      <c r="I936" s="5">
        <f>Данные!G72</f>
        <v>8</v>
      </c>
      <c r="J936" s="5"/>
      <c r="K936" s="5">
        <f>_xlfn.RANK.AVG(Данные!B6,Данные!$B$2:$B$75,1)</f>
        <v>4</v>
      </c>
      <c r="L936" s="5">
        <f>_xlfn.RANK.AVG(Данные!G6,Данные!$G$2:$G$75,1)</f>
        <v>61.5</v>
      </c>
      <c r="M936" s="5"/>
      <c r="N936" s="5"/>
      <c r="O936" s="5">
        <f>Данные!B6+(-0.07)</f>
        <v>0.92999999999999994</v>
      </c>
      <c r="P936" s="5">
        <f>Данные!G6</f>
        <v>10</v>
      </c>
      <c r="Q936" s="5"/>
    </row>
    <row r="937" spans="1:17" x14ac:dyDescent="0.25">
      <c r="A937" s="5" t="s">
        <v>44</v>
      </c>
      <c r="B937" s="8"/>
      <c r="C937" s="5"/>
      <c r="D937" s="5"/>
      <c r="E937" s="5">
        <f>Данные!G13</f>
        <v>7</v>
      </c>
      <c r="F937" s="5">
        <f>Данные!G12</f>
        <v>7</v>
      </c>
      <c r="G937" s="5">
        <f>Данные!G27</f>
        <v>6</v>
      </c>
      <c r="H937" s="5">
        <f>Данные!G43</f>
        <v>10</v>
      </c>
      <c r="I937" s="5">
        <f>Данные!G73</f>
        <v>7</v>
      </c>
      <c r="J937" s="5"/>
      <c r="K937" s="5">
        <f>_xlfn.RANK.AVG(Данные!B7,Данные!$B$2:$B$75,1)</f>
        <v>4</v>
      </c>
      <c r="L937" s="5">
        <f>_xlfn.RANK.AVG(Данные!G7,Данные!$G$2:$G$75,1)</f>
        <v>48</v>
      </c>
      <c r="M937" s="5"/>
      <c r="N937" s="5"/>
      <c r="O937" s="5">
        <f>Данные!B7+(-0.105)</f>
        <v>0.89500000000000002</v>
      </c>
      <c r="P937" s="5">
        <f>Данные!G7</f>
        <v>9</v>
      </c>
      <c r="Q937" s="5"/>
    </row>
    <row r="938" spans="1:17" x14ac:dyDescent="0.25">
      <c r="A938" s="5" t="s">
        <v>45</v>
      </c>
      <c r="B938" s="8"/>
      <c r="C938" s="5"/>
      <c r="D938" s="5"/>
      <c r="E938" s="5">
        <f>Данные!G14</f>
        <v>9</v>
      </c>
      <c r="F938" s="5">
        <f>Данные!G15</f>
        <v>6</v>
      </c>
      <c r="G938" s="5">
        <f>Данные!G28</f>
        <v>10</v>
      </c>
      <c r="H938" s="5">
        <f>Данные!G46</f>
        <v>9</v>
      </c>
      <c r="I938" s="5"/>
      <c r="J938" s="5"/>
      <c r="K938" s="5">
        <f>_xlfn.RANK.AVG(Данные!B8,Данные!$B$2:$B$75,1)</f>
        <v>4</v>
      </c>
      <c r="L938" s="5">
        <f>_xlfn.RANK.AVG(Данные!G8,Данные!$G$2:$G$75,1)</f>
        <v>2.5</v>
      </c>
      <c r="M938" s="5"/>
      <c r="N938" s="5"/>
      <c r="O938" s="5">
        <f>Данные!B8+(-0.105)</f>
        <v>0.89500000000000002</v>
      </c>
      <c r="P938" s="5">
        <f>Данные!G8</f>
        <v>5</v>
      </c>
      <c r="Q938" s="5"/>
    </row>
    <row r="939" spans="1:17" x14ac:dyDescent="0.25">
      <c r="A939" s="5" t="s">
        <v>46</v>
      </c>
      <c r="B939" s="8"/>
      <c r="C939" s="5"/>
      <c r="D939" s="5"/>
      <c r="E939" s="5"/>
      <c r="F939" s="5">
        <f>Данные!G16</f>
        <v>7</v>
      </c>
      <c r="G939" s="5">
        <f>Данные!G29</f>
        <v>8</v>
      </c>
      <c r="H939" s="5">
        <f>Данные!G48</f>
        <v>8</v>
      </c>
      <c r="I939" s="5"/>
      <c r="J939" s="5"/>
      <c r="K939" s="5">
        <f>_xlfn.RANK.AVG(Данные!B9,Данные!$B$2:$B$75,1)</f>
        <v>13.5</v>
      </c>
      <c r="L939" s="5">
        <f>_xlfn.RANK.AVG(Данные!G9,Данные!$G$2:$G$75,1)</f>
        <v>48</v>
      </c>
      <c r="M939" s="5"/>
      <c r="N939" s="5"/>
      <c r="O939" s="5">
        <f>Данные!B9+(-0.035)</f>
        <v>1.9650000000000001</v>
      </c>
      <c r="P939" s="5">
        <f>Данные!G9</f>
        <v>9</v>
      </c>
      <c r="Q939" s="5"/>
    </row>
    <row r="940" spans="1:17" x14ac:dyDescent="0.25">
      <c r="A940" s="5" t="s">
        <v>47</v>
      </c>
      <c r="B940" s="8"/>
      <c r="C940" s="5"/>
      <c r="D940" s="5"/>
      <c r="E940" s="5"/>
      <c r="F940" s="5">
        <f>Данные!G17</f>
        <v>11</v>
      </c>
      <c r="G940" s="5">
        <f>Данные!G30</f>
        <v>6</v>
      </c>
      <c r="H940" s="5">
        <f>Данные!G53</f>
        <v>5</v>
      </c>
      <c r="I940" s="5"/>
      <c r="J940" s="5"/>
      <c r="K940" s="5">
        <f>_xlfn.RANK.AVG(Данные!B10,Данные!$B$2:$B$75,1)</f>
        <v>13.5</v>
      </c>
      <c r="L940" s="5">
        <f>_xlfn.RANK.AVG(Данные!G10,Данные!$G$2:$G$75,1)</f>
        <v>30</v>
      </c>
      <c r="M940" s="5"/>
      <c r="N940" s="5"/>
      <c r="O940" s="5">
        <f>Данные!B10+(-0.105)</f>
        <v>1.895</v>
      </c>
      <c r="P940" s="5">
        <f>Данные!G10</f>
        <v>8</v>
      </c>
      <c r="Q940" s="5"/>
    </row>
    <row r="941" spans="1:17" x14ac:dyDescent="0.25">
      <c r="A941" s="5" t="s">
        <v>48</v>
      </c>
      <c r="B941" s="8"/>
      <c r="C941" s="5"/>
      <c r="D941" s="5"/>
      <c r="E941" s="5"/>
      <c r="F941" s="5">
        <f>Данные!G18</f>
        <v>10</v>
      </c>
      <c r="G941" s="5">
        <f>Данные!G32</f>
        <v>8</v>
      </c>
      <c r="H941" s="5">
        <f>Данные!G55</f>
        <v>10</v>
      </c>
      <c r="I941" s="5"/>
      <c r="J941" s="5"/>
      <c r="K941" s="5">
        <f>_xlfn.RANK.AVG(Данные!B11,Данные!$B$2:$B$75,1)</f>
        <v>4</v>
      </c>
      <c r="L941" s="5">
        <f>_xlfn.RANK.AVG(Данные!G11,Данные!$G$2:$G$75,1)</f>
        <v>30</v>
      </c>
      <c r="M941" s="5"/>
      <c r="N941" s="5"/>
      <c r="O941" s="5">
        <f>Данные!B11+(-0.105)</f>
        <v>0.89500000000000002</v>
      </c>
      <c r="P941" s="5">
        <f>Данные!G11</f>
        <v>8</v>
      </c>
      <c r="Q941" s="5"/>
    </row>
    <row r="942" spans="1:17" x14ac:dyDescent="0.25">
      <c r="A942" s="5" t="s">
        <v>49</v>
      </c>
      <c r="B942" s="8"/>
      <c r="C942" s="5"/>
      <c r="D942" s="5"/>
      <c r="E942" s="5"/>
      <c r="F942" s="5">
        <f>Данные!G19</f>
        <v>6</v>
      </c>
      <c r="G942" s="5">
        <f>Данные!G33</f>
        <v>5</v>
      </c>
      <c r="H942" s="5">
        <f>Данные!G56</f>
        <v>9</v>
      </c>
      <c r="I942" s="5"/>
      <c r="J942" s="5"/>
      <c r="K942" s="5">
        <f>_xlfn.RANK.AVG(Данные!B12,Данные!$B$2:$B$75,1)</f>
        <v>13.5</v>
      </c>
      <c r="L942" s="5">
        <f>_xlfn.RANK.AVG(Данные!G12,Данные!$G$2:$G$75,1)</f>
        <v>16</v>
      </c>
      <c r="M942" s="5"/>
      <c r="N942" s="5"/>
      <c r="O942" s="5">
        <f>Данные!B12+(-0.105)</f>
        <v>1.895</v>
      </c>
      <c r="P942" s="5">
        <f>Данные!G12</f>
        <v>7</v>
      </c>
      <c r="Q942" s="5"/>
    </row>
    <row r="943" spans="1:17" x14ac:dyDescent="0.25">
      <c r="A943" s="5" t="s">
        <v>50</v>
      </c>
      <c r="B943" s="8"/>
      <c r="C943" s="5"/>
      <c r="D943" s="5"/>
      <c r="E943" s="5"/>
      <c r="F943" s="5">
        <f>Данные!G20</f>
        <v>9</v>
      </c>
      <c r="G943" s="5">
        <f>Данные!G34</f>
        <v>8</v>
      </c>
      <c r="H943" s="5">
        <f>Данные!G57</f>
        <v>10</v>
      </c>
      <c r="I943" s="5"/>
      <c r="J943" s="5"/>
      <c r="K943" s="5">
        <f>_xlfn.RANK.AVG(Данные!B13,Данные!$B$2:$B$75,1)</f>
        <v>4</v>
      </c>
      <c r="L943" s="5">
        <f>_xlfn.RANK.AVG(Данные!G13,Данные!$G$2:$G$75,1)</f>
        <v>16</v>
      </c>
      <c r="M943" s="5"/>
      <c r="N943" s="5"/>
      <c r="O943" s="5">
        <f>Данные!B13+(-0.105)</f>
        <v>0.89500000000000002</v>
      </c>
      <c r="P943" s="5">
        <f>Данные!G13</f>
        <v>7</v>
      </c>
      <c r="Q943" s="5"/>
    </row>
    <row r="944" spans="1:17" x14ac:dyDescent="0.25">
      <c r="A944" s="5"/>
      <c r="B944" s="5"/>
      <c r="C944" s="5"/>
      <c r="D944" s="5"/>
      <c r="E944" s="5"/>
      <c r="F944" s="5"/>
      <c r="G944" s="5">
        <f>Данные!G35</f>
        <v>8</v>
      </c>
      <c r="H944" s="5">
        <f>Данные!G58</f>
        <v>11</v>
      </c>
      <c r="I944" s="5"/>
      <c r="J944" s="5"/>
      <c r="K944" s="5">
        <f>_xlfn.RANK.AVG(Данные!B14,Данные!$B$2:$B$75,1)</f>
        <v>4</v>
      </c>
      <c r="L944" s="5">
        <f>_xlfn.RANK.AVG(Данные!G14,Данные!$G$2:$G$75,1)</f>
        <v>48</v>
      </c>
      <c r="M944" s="5"/>
      <c r="N944" s="5"/>
      <c r="O944" s="5">
        <f>Данные!B14+(-0.07)</f>
        <v>0.92999999999999994</v>
      </c>
      <c r="P944" s="5">
        <f>Данные!G14</f>
        <v>9</v>
      </c>
      <c r="Q944" s="5"/>
    </row>
    <row r="945" spans="1:17" x14ac:dyDescent="0.25">
      <c r="A945" s="5"/>
      <c r="B945" s="5"/>
      <c r="C945" s="5"/>
      <c r="D945" s="5"/>
      <c r="E945" s="5"/>
      <c r="F945" s="5"/>
      <c r="G945" s="5">
        <f>Данные!G37</f>
        <v>8</v>
      </c>
      <c r="H945" s="5">
        <f>Данные!G59</f>
        <v>9</v>
      </c>
      <c r="I945" s="5"/>
      <c r="J945" s="5"/>
      <c r="K945" s="5">
        <f>_xlfn.RANK.AVG(Данные!B15,Данные!$B$2:$B$75,1)</f>
        <v>13.5</v>
      </c>
      <c r="L945" s="5">
        <f>_xlfn.RANK.AVG(Данные!G15,Данные!$G$2:$G$75,1)</f>
        <v>8.5</v>
      </c>
      <c r="M945" s="5"/>
      <c r="N945" s="5"/>
      <c r="O945" s="5">
        <f>Данные!B15+(-0.105)</f>
        <v>1.895</v>
      </c>
      <c r="P945" s="5">
        <f>Данные!G15</f>
        <v>6</v>
      </c>
      <c r="Q945" s="5"/>
    </row>
    <row r="946" spans="1:17" x14ac:dyDescent="0.25">
      <c r="A946" s="5"/>
      <c r="B946" s="5"/>
      <c r="C946" s="5"/>
      <c r="D946" s="5"/>
      <c r="E946" s="5"/>
      <c r="F946" s="5"/>
      <c r="G946" s="5">
        <f>Данные!G38</f>
        <v>6</v>
      </c>
      <c r="H946" s="5">
        <f>Данные!G60</f>
        <v>8</v>
      </c>
      <c r="I946" s="5"/>
      <c r="J946" s="5"/>
      <c r="K946" s="5">
        <f>_xlfn.RANK.AVG(Данные!B16,Данные!$B$2:$B$75,1)</f>
        <v>13.5</v>
      </c>
      <c r="L946" s="5">
        <f>_xlfn.RANK.AVG(Данные!G16,Данные!$G$2:$G$75,1)</f>
        <v>16</v>
      </c>
      <c r="M946" s="5"/>
      <c r="N946" s="5"/>
      <c r="O946" s="5">
        <f>Данные!B16+(-0.07)</f>
        <v>1.93</v>
      </c>
      <c r="P946" s="5">
        <f>Данные!G16</f>
        <v>7</v>
      </c>
      <c r="Q946" s="5"/>
    </row>
    <row r="947" spans="1:17" x14ac:dyDescent="0.25">
      <c r="A947" s="5"/>
      <c r="B947" s="5"/>
      <c r="C947" s="5"/>
      <c r="D947" s="5"/>
      <c r="E947" s="5"/>
      <c r="F947" s="5"/>
      <c r="G947" s="5">
        <f>Данные!G40</f>
        <v>7</v>
      </c>
      <c r="H947" s="5">
        <f>Данные!G62</f>
        <v>8</v>
      </c>
      <c r="I947" s="5"/>
      <c r="J947" s="5"/>
      <c r="K947" s="5">
        <f>_xlfn.RANK.AVG(Данные!B17,Данные!$B$2:$B$75,1)</f>
        <v>13.5</v>
      </c>
      <c r="L947" s="5">
        <f>_xlfn.RANK.AVG(Данные!G17,Данные!$G$2:$G$75,1)</f>
        <v>70.5</v>
      </c>
      <c r="M947" s="5"/>
      <c r="N947" s="5"/>
      <c r="O947" s="5">
        <f>Данные!B17+(-0.105)</f>
        <v>1.895</v>
      </c>
      <c r="P947" s="5">
        <f>Данные!G17</f>
        <v>11</v>
      </c>
      <c r="Q947" s="5"/>
    </row>
    <row r="948" spans="1:17" x14ac:dyDescent="0.25">
      <c r="A948" s="5"/>
      <c r="B948" s="5"/>
      <c r="C948" s="5"/>
      <c r="D948" s="5"/>
      <c r="E948" s="5"/>
      <c r="F948" s="5"/>
      <c r="G948" s="5">
        <f>Данные!G42</f>
        <v>8</v>
      </c>
      <c r="H948" s="5">
        <f>Данные!G63</f>
        <v>6</v>
      </c>
      <c r="I948" s="5"/>
      <c r="J948" s="5"/>
      <c r="K948" s="5">
        <f>_xlfn.RANK.AVG(Данные!B18,Данные!$B$2:$B$75,1)</f>
        <v>13.5</v>
      </c>
      <c r="L948" s="5">
        <f>_xlfn.RANK.AVG(Данные!G18,Данные!$G$2:$G$75,1)</f>
        <v>61.5</v>
      </c>
      <c r="M948" s="5"/>
      <c r="N948" s="5"/>
      <c r="O948" s="5">
        <f>Данные!B18+(-0.07)</f>
        <v>1.93</v>
      </c>
      <c r="P948" s="5">
        <f>Данные!G18</f>
        <v>10</v>
      </c>
      <c r="Q948" s="5"/>
    </row>
    <row r="949" spans="1:17" x14ac:dyDescent="0.25">
      <c r="A949" s="5"/>
      <c r="B949" s="5"/>
      <c r="C949" s="5"/>
      <c r="D949" s="5"/>
      <c r="E949" s="5"/>
      <c r="F949" s="5"/>
      <c r="G949" s="5">
        <f>Данные!G44</f>
        <v>9</v>
      </c>
      <c r="H949" s="5">
        <f>Данные!G64</f>
        <v>10</v>
      </c>
      <c r="I949" s="5"/>
      <c r="J949" s="5"/>
      <c r="K949" s="5">
        <f>_xlfn.RANK.AVG(Данные!B19,Данные!$B$2:$B$75,1)</f>
        <v>13.5</v>
      </c>
      <c r="L949" s="5">
        <f>_xlfn.RANK.AVG(Данные!G19,Данные!$G$2:$G$75,1)</f>
        <v>8.5</v>
      </c>
      <c r="M949" s="5"/>
      <c r="N949" s="5"/>
      <c r="O949" s="5">
        <f>Данные!B19+(-0.07)</f>
        <v>1.93</v>
      </c>
      <c r="P949" s="5">
        <f>Данные!G19</f>
        <v>6</v>
      </c>
      <c r="Q949" s="5"/>
    </row>
    <row r="950" spans="1:17" x14ac:dyDescent="0.25">
      <c r="A950" s="5"/>
      <c r="B950" s="5"/>
      <c r="C950" s="5"/>
      <c r="D950" s="5"/>
      <c r="E950" s="5"/>
      <c r="F950" s="5"/>
      <c r="G950" s="5">
        <f>Данные!G45</f>
        <v>8</v>
      </c>
      <c r="H950" s="5">
        <f>Данные!G65</f>
        <v>8</v>
      </c>
      <c r="I950" s="5"/>
      <c r="J950" s="5"/>
      <c r="K950" s="5">
        <f>_xlfn.RANK.AVG(Данные!B20,Данные!$B$2:$B$75,1)</f>
        <v>13.5</v>
      </c>
      <c r="L950" s="5">
        <f>_xlfn.RANK.AVG(Данные!G20,Данные!$G$2:$G$75,1)</f>
        <v>48</v>
      </c>
      <c r="M950" s="5"/>
      <c r="N950" s="5"/>
      <c r="O950" s="5">
        <f>Данные!B20+(0)</f>
        <v>2</v>
      </c>
      <c r="P950" s="5">
        <f>Данные!G20</f>
        <v>9</v>
      </c>
      <c r="Q950" s="5"/>
    </row>
    <row r="951" spans="1:17" x14ac:dyDescent="0.25">
      <c r="A951" s="5"/>
      <c r="B951" s="5"/>
      <c r="C951" s="5"/>
      <c r="D951" s="5"/>
      <c r="E951" s="5"/>
      <c r="F951" s="5"/>
      <c r="G951" s="5">
        <f>Данные!G47</f>
        <v>8</v>
      </c>
      <c r="H951" s="5">
        <f>Данные!G66</f>
        <v>8</v>
      </c>
      <c r="I951" s="5"/>
      <c r="J951" s="5"/>
      <c r="K951" s="5">
        <f>_xlfn.RANK.AVG(Данные!B21,Данные!$B$2:$B$75,1)</f>
        <v>56.5</v>
      </c>
      <c r="L951" s="5">
        <f>_xlfn.RANK.AVG(Данные!G21,Данные!$G$2:$G$75,1)</f>
        <v>2.5</v>
      </c>
      <c r="M951" s="5"/>
      <c r="N951" s="5"/>
      <c r="O951" s="5">
        <f>Данные!B21+(-0.105)</f>
        <v>3.895</v>
      </c>
      <c r="P951" s="5">
        <f>Данные!G21</f>
        <v>5</v>
      </c>
      <c r="Q951" s="5"/>
    </row>
    <row r="952" spans="1:17" x14ac:dyDescent="0.25">
      <c r="A952" s="5"/>
      <c r="B952" s="5"/>
      <c r="C952" s="5"/>
      <c r="D952" s="5"/>
      <c r="E952" s="5"/>
      <c r="F952" s="5"/>
      <c r="G952" s="5">
        <f>Данные!G49</f>
        <v>9</v>
      </c>
      <c r="H952" s="5">
        <f>Данные!G69</f>
        <v>12</v>
      </c>
      <c r="I952" s="5"/>
      <c r="J952" s="5"/>
      <c r="K952" s="5">
        <f>_xlfn.RANK.AVG(Данные!B22,Данные!$B$2:$B$75,1)</f>
        <v>32</v>
      </c>
      <c r="L952" s="5">
        <f>_xlfn.RANK.AVG(Данные!G22,Данные!$G$2:$G$75,1)</f>
        <v>8.5</v>
      </c>
      <c r="M952" s="5"/>
      <c r="N952" s="5"/>
      <c r="O952" s="5">
        <f>Данные!B22+(-0.105)</f>
        <v>2.895</v>
      </c>
      <c r="P952" s="5">
        <f>Данные!G22</f>
        <v>6</v>
      </c>
      <c r="Q952" s="5"/>
    </row>
    <row r="953" spans="1:17" x14ac:dyDescent="0.25">
      <c r="A953" s="5"/>
      <c r="B953" s="5"/>
      <c r="C953" s="5"/>
      <c r="D953" s="5"/>
      <c r="E953" s="5"/>
      <c r="F953" s="5"/>
      <c r="G953" s="5">
        <f>Данные!G50</f>
        <v>6</v>
      </c>
      <c r="H953" s="5">
        <f>Данные!G70</f>
        <v>9</v>
      </c>
      <c r="I953" s="5"/>
      <c r="J953" s="5"/>
      <c r="K953" s="5">
        <f>_xlfn.RANK.AVG(Данные!B23,Данные!$B$2:$B$75,1)</f>
        <v>32</v>
      </c>
      <c r="L953" s="5">
        <f>_xlfn.RANK.AVG(Данные!G23,Данные!$G$2:$G$75,1)</f>
        <v>70.5</v>
      </c>
      <c r="M953" s="5"/>
      <c r="N953" s="5"/>
      <c r="O953" s="5">
        <f>Данные!B23+(-0.105)</f>
        <v>2.895</v>
      </c>
      <c r="P953" s="5">
        <f>Данные!G23</f>
        <v>11</v>
      </c>
      <c r="Q953" s="5"/>
    </row>
    <row r="954" spans="1:17" x14ac:dyDescent="0.25">
      <c r="A954" s="5"/>
      <c r="B954" s="5"/>
      <c r="C954" s="5"/>
      <c r="D954" s="5"/>
      <c r="E954" s="5"/>
      <c r="F954" s="5"/>
      <c r="G954" s="5">
        <f>Данные!G51</f>
        <v>10</v>
      </c>
      <c r="H954" s="5">
        <f>Данные!G74</f>
        <v>9</v>
      </c>
      <c r="I954" s="5"/>
      <c r="J954" s="5"/>
      <c r="K954" s="5">
        <f>_xlfn.RANK.AVG(Данные!B24,Данные!$B$2:$B$75,1)</f>
        <v>32</v>
      </c>
      <c r="L954" s="5">
        <f>_xlfn.RANK.AVG(Данные!G24,Данные!$G$2:$G$75,1)</f>
        <v>30</v>
      </c>
      <c r="M954" s="5"/>
      <c r="N954" s="5"/>
      <c r="O954" s="5">
        <f>Данные!B24+(-0.105)</f>
        <v>2.895</v>
      </c>
      <c r="P954" s="5">
        <f>Данные!G24</f>
        <v>8</v>
      </c>
      <c r="Q954" s="5"/>
    </row>
    <row r="955" spans="1:17" x14ac:dyDescent="0.25">
      <c r="A955" s="5"/>
      <c r="B955" s="5"/>
      <c r="C955" s="5"/>
      <c r="D955" s="5"/>
      <c r="E955" s="5"/>
      <c r="F955" s="5"/>
      <c r="G955" s="5">
        <f>Данные!G52</f>
        <v>7</v>
      </c>
      <c r="H955" s="5">
        <f>Данные!G75</f>
        <v>8</v>
      </c>
      <c r="I955" s="5"/>
      <c r="J955" s="5"/>
      <c r="K955" s="5">
        <f>_xlfn.RANK.AVG(Данные!B25,Данные!$B$2:$B$75,1)</f>
        <v>32</v>
      </c>
      <c r="L955" s="5">
        <f>_xlfn.RANK.AVG(Данные!G25,Данные!$G$2:$G$75,1)</f>
        <v>61.5</v>
      </c>
      <c r="M955" s="5"/>
      <c r="N955" s="5"/>
      <c r="O955" s="5">
        <f>Данные!B25+(-0.105)</f>
        <v>2.895</v>
      </c>
      <c r="P955" s="5">
        <f>Данные!G25</f>
        <v>10</v>
      </c>
      <c r="Q955" s="5"/>
    </row>
    <row r="956" spans="1:17" x14ac:dyDescent="0.25">
      <c r="A956" s="5"/>
      <c r="B956" s="5"/>
      <c r="C956" s="5"/>
      <c r="D956" s="5"/>
      <c r="E956" s="5"/>
      <c r="F956" s="5"/>
      <c r="G956" s="5">
        <f>Данные!G54</f>
        <v>8</v>
      </c>
      <c r="H956" s="5"/>
      <c r="I956" s="5"/>
      <c r="J956" s="5"/>
      <c r="K956" s="5">
        <f>_xlfn.RANK.AVG(Данные!B26,Данные!$B$2:$B$75,1)</f>
        <v>32</v>
      </c>
      <c r="L956" s="5">
        <f>_xlfn.RANK.AVG(Данные!G26,Данные!$G$2:$G$75,1)</f>
        <v>70.5</v>
      </c>
      <c r="M956" s="5"/>
      <c r="N956" s="5"/>
      <c r="O956" s="5">
        <f>Данные!B26+(-0.07)</f>
        <v>2.93</v>
      </c>
      <c r="P956" s="5">
        <f>Данные!G26</f>
        <v>11</v>
      </c>
      <c r="Q956" s="5"/>
    </row>
    <row r="957" spans="1:17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>
        <f>_xlfn.RANK.AVG(Данные!B27,Данные!$B$2:$B$75,1)</f>
        <v>32</v>
      </c>
      <c r="L957" s="5">
        <f>_xlfn.RANK.AVG(Данные!G27,Данные!$G$2:$G$75,1)</f>
        <v>8.5</v>
      </c>
      <c r="M957" s="5"/>
      <c r="N957" s="5"/>
      <c r="O957" s="5">
        <f>Данные!B27+(-0.07)</f>
        <v>2.93</v>
      </c>
      <c r="P957" s="5">
        <f>Данные!G27</f>
        <v>6</v>
      </c>
      <c r="Q957" s="5"/>
    </row>
    <row r="958" spans="1:17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>
        <f>_xlfn.RANK.AVG(Данные!B28,Данные!$B$2:$B$75,1)</f>
        <v>32</v>
      </c>
      <c r="L958" s="5">
        <f>_xlfn.RANK.AVG(Данные!G28,Данные!$G$2:$G$75,1)</f>
        <v>61.5</v>
      </c>
      <c r="M958" s="5"/>
      <c r="N958" s="5"/>
      <c r="O958" s="5">
        <f>Данные!B28+(-0.07)</f>
        <v>2.93</v>
      </c>
      <c r="P958" s="5">
        <f>Данные!G28</f>
        <v>10</v>
      </c>
      <c r="Q958" s="5"/>
    </row>
    <row r="959" spans="1:17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>
        <f>_xlfn.RANK.AVG(Данные!B29,Данные!$B$2:$B$75,1)</f>
        <v>32</v>
      </c>
      <c r="L959" s="5">
        <f>_xlfn.RANK.AVG(Данные!G29,Данные!$G$2:$G$75,1)</f>
        <v>30</v>
      </c>
      <c r="M959" s="5"/>
      <c r="N959" s="5"/>
      <c r="O959" s="5">
        <f>Данные!B29+(-0.07)</f>
        <v>2.93</v>
      </c>
      <c r="P959" s="5">
        <f>Данные!G29</f>
        <v>8</v>
      </c>
      <c r="Q959" s="5"/>
    </row>
    <row r="960" spans="1:17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>
        <f>_xlfn.RANK.AVG(Данные!B30,Данные!$B$2:$B$75,1)</f>
        <v>32</v>
      </c>
      <c r="L960" s="5">
        <f>_xlfn.RANK.AVG(Данные!G30,Данные!$G$2:$G$75,1)</f>
        <v>8.5</v>
      </c>
      <c r="M960" s="5"/>
      <c r="N960" s="5"/>
      <c r="O960" s="5">
        <f>Данные!B30+(-0.035)</f>
        <v>2.9649999999999999</v>
      </c>
      <c r="P960" s="5">
        <f>Данные!G30</f>
        <v>6</v>
      </c>
      <c r="Q960" s="5"/>
    </row>
    <row r="961" spans="1:17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>
        <f>_xlfn.RANK.AVG(Данные!B31,Данные!$B$2:$B$75,1)</f>
        <v>56.5</v>
      </c>
      <c r="L961" s="5">
        <f>_xlfn.RANK.AVG(Данные!G31,Данные!$G$2:$G$75,1)</f>
        <v>61.5</v>
      </c>
      <c r="M961" s="5"/>
      <c r="N961" s="5"/>
      <c r="O961" s="5">
        <f>Данные!B31+(-0.105)</f>
        <v>3.895</v>
      </c>
      <c r="P961" s="5">
        <f>Данные!G31</f>
        <v>10</v>
      </c>
      <c r="Q961" s="5"/>
    </row>
    <row r="962" spans="1:17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>
        <f>_xlfn.RANK.AVG(Данные!B32,Данные!$B$2:$B$75,1)</f>
        <v>32</v>
      </c>
      <c r="L962" s="5">
        <f>_xlfn.RANK.AVG(Данные!G32,Данные!$G$2:$G$75,1)</f>
        <v>30</v>
      </c>
      <c r="M962" s="5"/>
      <c r="N962" s="5"/>
      <c r="O962" s="5">
        <f>Данные!B32+(-0.035)</f>
        <v>2.9649999999999999</v>
      </c>
      <c r="P962" s="5">
        <f>Данные!G32</f>
        <v>8</v>
      </c>
      <c r="Q962" s="5"/>
    </row>
    <row r="963" spans="1:17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>
        <f>_xlfn.RANK.AVG(Данные!B33,Данные!$B$2:$B$75,1)</f>
        <v>32</v>
      </c>
      <c r="L963" s="5">
        <f>_xlfn.RANK.AVG(Данные!G33,Данные!$G$2:$G$75,1)</f>
        <v>2.5</v>
      </c>
      <c r="M963" s="5"/>
      <c r="N963" s="5"/>
      <c r="O963" s="5">
        <f>Данные!B33+(-0.105)</f>
        <v>2.895</v>
      </c>
      <c r="P963" s="5">
        <f>Данные!G33</f>
        <v>5</v>
      </c>
      <c r="Q963" s="5"/>
    </row>
    <row r="964" spans="1:17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>
        <f>_xlfn.RANK.AVG(Данные!B34,Данные!$B$2:$B$75,1)</f>
        <v>32</v>
      </c>
      <c r="L964" s="5">
        <f>_xlfn.RANK.AVG(Данные!G34,Данные!$G$2:$G$75,1)</f>
        <v>30</v>
      </c>
      <c r="M964" s="5"/>
      <c r="N964" s="5"/>
      <c r="O964" s="5">
        <f>Данные!B34+(0)</f>
        <v>3</v>
      </c>
      <c r="P964" s="5">
        <f>Данные!G34</f>
        <v>8</v>
      </c>
      <c r="Q964" s="5"/>
    </row>
    <row r="965" spans="1:17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>
        <f>_xlfn.RANK.AVG(Данные!B35,Данные!$B$2:$B$75,1)</f>
        <v>32</v>
      </c>
      <c r="L965" s="5">
        <f>_xlfn.RANK.AVG(Данные!G35,Данные!$G$2:$G$75,1)</f>
        <v>30</v>
      </c>
      <c r="M965" s="5"/>
      <c r="N965" s="5"/>
      <c r="O965" s="5">
        <f>Данные!B35+(0.035)</f>
        <v>3.0350000000000001</v>
      </c>
      <c r="P965" s="5">
        <f>Данные!G35</f>
        <v>8</v>
      </c>
      <c r="Q965" s="5"/>
    </row>
    <row r="966" spans="1:17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>
        <f>_xlfn.RANK.AVG(Данные!B36,Данные!$B$2:$B$75,1)</f>
        <v>56.5</v>
      </c>
      <c r="L966" s="5">
        <f>_xlfn.RANK.AVG(Данные!G36,Данные!$G$2:$G$75,1)</f>
        <v>48</v>
      </c>
      <c r="M966" s="5"/>
      <c r="N966" s="5"/>
      <c r="O966" s="5">
        <f>Данные!B36+(-0.105)</f>
        <v>3.895</v>
      </c>
      <c r="P966" s="5">
        <f>Данные!G36</f>
        <v>9</v>
      </c>
      <c r="Q966" s="5"/>
    </row>
    <row r="967" spans="1:17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>
        <f>_xlfn.RANK.AVG(Данные!B37,Данные!$B$2:$B$75,1)</f>
        <v>32</v>
      </c>
      <c r="L967" s="5">
        <f>_xlfn.RANK.AVG(Данные!G37,Данные!$G$2:$G$75,1)</f>
        <v>30</v>
      </c>
      <c r="M967" s="5"/>
      <c r="N967" s="5"/>
      <c r="O967" s="5">
        <f>Данные!B37+(0.07)</f>
        <v>3.07</v>
      </c>
      <c r="P967" s="5">
        <f>Данные!G37</f>
        <v>8</v>
      </c>
      <c r="Q967" s="5"/>
    </row>
    <row r="968" spans="1:17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>
        <f>_xlfn.RANK.AVG(Данные!B38,Данные!$B$2:$B$75,1)</f>
        <v>32</v>
      </c>
      <c r="L968" s="5">
        <f>_xlfn.RANK.AVG(Данные!G38,Данные!$G$2:$G$75,1)</f>
        <v>8.5</v>
      </c>
      <c r="M968" s="5"/>
      <c r="N968" s="5"/>
      <c r="O968" s="5">
        <f>Данные!B38+(0)</f>
        <v>3</v>
      </c>
      <c r="P968" s="5">
        <f>Данные!G38</f>
        <v>6</v>
      </c>
      <c r="Q968" s="5"/>
    </row>
    <row r="969" spans="1:17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>
        <f>_xlfn.RANK.AVG(Данные!B39,Данные!$B$2:$B$75,1)</f>
        <v>56.5</v>
      </c>
      <c r="L969" s="5">
        <f>_xlfn.RANK.AVG(Данные!G39,Данные!$G$2:$G$75,1)</f>
        <v>16</v>
      </c>
      <c r="M969" s="5"/>
      <c r="N969" s="5"/>
      <c r="O969" s="5">
        <f>Данные!B39+(-0.105)</f>
        <v>3.895</v>
      </c>
      <c r="P969" s="5">
        <f>Данные!G39</f>
        <v>7</v>
      </c>
      <c r="Q969" s="5"/>
    </row>
    <row r="970" spans="1:17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>
        <f>_xlfn.RANK.AVG(Данные!B40,Данные!$B$2:$B$75,1)</f>
        <v>32</v>
      </c>
      <c r="L970" s="5">
        <f>_xlfn.RANK.AVG(Данные!G40,Данные!$G$2:$G$75,1)</f>
        <v>16</v>
      </c>
      <c r="M970" s="5"/>
      <c r="N970" s="5"/>
      <c r="O970" s="5">
        <f>Данные!B40+(-0.105)</f>
        <v>2.895</v>
      </c>
      <c r="P970" s="5">
        <f>Данные!G40</f>
        <v>7</v>
      </c>
      <c r="Q970" s="5"/>
    </row>
    <row r="971" spans="1:17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>
        <f>_xlfn.RANK.AVG(Данные!B41,Данные!$B$2:$B$75,1)</f>
        <v>56.5</v>
      </c>
      <c r="L971" s="5">
        <f>_xlfn.RANK.AVG(Данные!G41,Данные!$G$2:$G$75,1)</f>
        <v>70.5</v>
      </c>
      <c r="M971" s="5"/>
      <c r="N971" s="5"/>
      <c r="O971" s="5">
        <f>Данные!B41+(-0.105)</f>
        <v>3.895</v>
      </c>
      <c r="P971" s="5">
        <f>Данные!G41</f>
        <v>11</v>
      </c>
      <c r="Q971" s="5"/>
    </row>
    <row r="972" spans="1:17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>
        <f>_xlfn.RANK.AVG(Данные!B42,Данные!$B$2:$B$75,1)</f>
        <v>32</v>
      </c>
      <c r="L972" s="5">
        <f>_xlfn.RANK.AVG(Данные!G42,Данные!$G$2:$G$75,1)</f>
        <v>30</v>
      </c>
      <c r="M972" s="5"/>
      <c r="N972" s="5"/>
      <c r="O972" s="5">
        <f>Данные!B42+(0.105)</f>
        <v>3.105</v>
      </c>
      <c r="P972" s="5">
        <f>Данные!G42</f>
        <v>8</v>
      </c>
      <c r="Q972" s="5"/>
    </row>
    <row r="973" spans="1:17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>
        <f>_xlfn.RANK.AVG(Данные!B43,Данные!$B$2:$B$75,1)</f>
        <v>56.5</v>
      </c>
      <c r="L973" s="5">
        <f>_xlfn.RANK.AVG(Данные!G43,Данные!$G$2:$G$75,1)</f>
        <v>61.5</v>
      </c>
      <c r="M973" s="5"/>
      <c r="N973" s="5"/>
      <c r="O973" s="5">
        <f>Данные!B43+(-0.07)</f>
        <v>3.93</v>
      </c>
      <c r="P973" s="5">
        <f>Данные!G43</f>
        <v>10</v>
      </c>
      <c r="Q973" s="5"/>
    </row>
    <row r="974" spans="1:17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>
        <f>_xlfn.RANK.AVG(Данные!B44,Данные!$B$2:$B$75,1)</f>
        <v>32</v>
      </c>
      <c r="L974" s="5">
        <f>_xlfn.RANK.AVG(Данные!G44,Данные!$G$2:$G$75,1)</f>
        <v>48</v>
      </c>
      <c r="M974" s="5"/>
      <c r="N974" s="5"/>
      <c r="O974" s="5">
        <f>Данные!B44+(-0.105)</f>
        <v>2.895</v>
      </c>
      <c r="P974" s="5">
        <f>Данные!G44</f>
        <v>9</v>
      </c>
      <c r="Q974" s="5"/>
    </row>
    <row r="975" spans="1:17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>
        <f>_xlfn.RANK.AVG(Данные!B45,Данные!$B$2:$B$75,1)</f>
        <v>32</v>
      </c>
      <c r="L975" s="5">
        <f>_xlfn.RANK.AVG(Данные!G45,Данные!$G$2:$G$75,1)</f>
        <v>30</v>
      </c>
      <c r="M975" s="5"/>
      <c r="N975" s="5"/>
      <c r="O975" s="5">
        <f>Данные!B45+(-0.105)</f>
        <v>2.895</v>
      </c>
      <c r="P975" s="5">
        <f>Данные!G45</f>
        <v>8</v>
      </c>
      <c r="Q975" s="5"/>
    </row>
    <row r="976" spans="1:17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>
        <f>_xlfn.RANK.AVG(Данные!B46,Данные!$B$2:$B$75,1)</f>
        <v>56.5</v>
      </c>
      <c r="L976" s="5">
        <f>_xlfn.RANK.AVG(Данные!G46,Данные!$G$2:$G$75,1)</f>
        <v>48</v>
      </c>
      <c r="M976" s="5"/>
      <c r="N976" s="5"/>
      <c r="O976" s="5">
        <f>Данные!B46+(-0.07)</f>
        <v>3.93</v>
      </c>
      <c r="P976" s="5">
        <f>Данные!G46</f>
        <v>9</v>
      </c>
      <c r="Q976" s="5"/>
    </row>
    <row r="977" spans="1:17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>
        <f>_xlfn.RANK.AVG(Данные!B47,Данные!$B$2:$B$75,1)</f>
        <v>32</v>
      </c>
      <c r="L977" s="5">
        <f>_xlfn.RANK.AVG(Данные!G47,Данные!$G$2:$G$75,1)</f>
        <v>30</v>
      </c>
      <c r="M977" s="5"/>
      <c r="N977" s="5"/>
      <c r="O977" s="5">
        <f>Данные!B47+(-0.07)</f>
        <v>2.93</v>
      </c>
      <c r="P977" s="5">
        <f>Данные!G47</f>
        <v>8</v>
      </c>
      <c r="Q977" s="5"/>
    </row>
    <row r="978" spans="1:17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>
        <f>_xlfn.RANK.AVG(Данные!B48,Данные!$B$2:$B$75,1)</f>
        <v>56.5</v>
      </c>
      <c r="L978" s="5">
        <f>_xlfn.RANK.AVG(Данные!G48,Данные!$G$2:$G$75,1)</f>
        <v>30</v>
      </c>
      <c r="M978" s="5"/>
      <c r="N978" s="5"/>
      <c r="O978" s="5">
        <f>Данные!B48+(-0.105)</f>
        <v>3.895</v>
      </c>
      <c r="P978" s="5">
        <f>Данные!G48</f>
        <v>8</v>
      </c>
      <c r="Q978" s="5"/>
    </row>
    <row r="979" spans="1:17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>
        <f>_xlfn.RANK.AVG(Данные!B49,Данные!$B$2:$B$75,1)</f>
        <v>32</v>
      </c>
      <c r="L979" s="5">
        <f>_xlfn.RANK.AVG(Данные!G49,Данные!$G$2:$G$75,1)</f>
        <v>48</v>
      </c>
      <c r="M979" s="5"/>
      <c r="N979" s="5"/>
      <c r="O979" s="5">
        <f>Данные!B49+(-0.07)</f>
        <v>2.93</v>
      </c>
      <c r="P979" s="5">
        <f>Данные!G49</f>
        <v>9</v>
      </c>
      <c r="Q979" s="5"/>
    </row>
    <row r="980" spans="1:17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>
        <f>_xlfn.RANK.AVG(Данные!B50,Данные!$B$2:$B$75,1)</f>
        <v>32</v>
      </c>
      <c r="L980" s="5">
        <f>_xlfn.RANK.AVG(Данные!G50,Данные!$G$2:$G$75,1)</f>
        <v>8.5</v>
      </c>
      <c r="M980" s="5"/>
      <c r="N980" s="5"/>
      <c r="O980" s="5">
        <f>Данные!B50+(0.035)</f>
        <v>3.0350000000000001</v>
      </c>
      <c r="P980" s="5">
        <f>Данные!G50</f>
        <v>6</v>
      </c>
      <c r="Q980" s="5"/>
    </row>
    <row r="981" spans="1:17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>
        <f>_xlfn.RANK.AVG(Данные!B51,Данные!$B$2:$B$75,1)</f>
        <v>32</v>
      </c>
      <c r="L981" s="5">
        <f>_xlfn.RANK.AVG(Данные!G51,Данные!$G$2:$G$75,1)</f>
        <v>61.5</v>
      </c>
      <c r="M981" s="5"/>
      <c r="N981" s="5"/>
      <c r="O981" s="5">
        <f>Данные!B51+(-0.035)</f>
        <v>2.9649999999999999</v>
      </c>
      <c r="P981" s="5">
        <f>Данные!G51</f>
        <v>10</v>
      </c>
      <c r="Q981" s="5"/>
    </row>
    <row r="982" spans="1:17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>
        <f>_xlfn.RANK.AVG(Данные!B52,Данные!$B$2:$B$75,1)</f>
        <v>32</v>
      </c>
      <c r="L982" s="5">
        <f>_xlfn.RANK.AVG(Данные!G52,Данные!$G$2:$G$75,1)</f>
        <v>16</v>
      </c>
      <c r="M982" s="5"/>
      <c r="N982" s="5"/>
      <c r="O982" s="5">
        <f>Данные!B52+(-0.07)</f>
        <v>2.93</v>
      </c>
      <c r="P982" s="5">
        <f>Данные!G52</f>
        <v>7</v>
      </c>
      <c r="Q982" s="5"/>
    </row>
    <row r="983" spans="1:17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>
        <f>_xlfn.RANK.AVG(Данные!B53,Данные!$B$2:$B$75,1)</f>
        <v>56.5</v>
      </c>
      <c r="L983" s="5">
        <f>_xlfn.RANK.AVG(Данные!G53,Данные!$G$2:$G$75,1)</f>
        <v>2.5</v>
      </c>
      <c r="M983" s="5"/>
      <c r="N983" s="5"/>
      <c r="O983" s="5">
        <f>Данные!B53+(-0.07)</f>
        <v>3.93</v>
      </c>
      <c r="P983" s="5">
        <f>Данные!G53</f>
        <v>5</v>
      </c>
      <c r="Q983" s="5"/>
    </row>
    <row r="984" spans="1:17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>
        <f>_xlfn.RANK.AVG(Данные!B54,Данные!$B$2:$B$75,1)</f>
        <v>32</v>
      </c>
      <c r="L984" s="5">
        <f>_xlfn.RANK.AVG(Данные!G54,Данные!$G$2:$G$75,1)</f>
        <v>30</v>
      </c>
      <c r="M984" s="5"/>
      <c r="N984" s="5"/>
      <c r="O984" s="5">
        <f>Данные!B54+(-0.035)</f>
        <v>2.9649999999999999</v>
      </c>
      <c r="P984" s="5">
        <f>Данные!G54</f>
        <v>8</v>
      </c>
      <c r="Q984" s="5"/>
    </row>
    <row r="985" spans="1:17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>
        <f>_xlfn.RANK.AVG(Данные!B55,Данные!$B$2:$B$75,1)</f>
        <v>56.5</v>
      </c>
      <c r="L985" s="5">
        <f>_xlfn.RANK.AVG(Данные!G55,Данные!$G$2:$G$75,1)</f>
        <v>61.5</v>
      </c>
      <c r="M985" s="5"/>
      <c r="N985" s="5"/>
      <c r="O985" s="5">
        <f>Данные!B55+(-0.035)</f>
        <v>3.9649999999999999</v>
      </c>
      <c r="P985" s="5">
        <f>Данные!G55</f>
        <v>10</v>
      </c>
      <c r="Q985" s="5"/>
    </row>
    <row r="986" spans="1:17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>
        <f>_xlfn.RANK.AVG(Данные!B56,Данные!$B$2:$B$75,1)</f>
        <v>56.5</v>
      </c>
      <c r="L986" s="5">
        <f>_xlfn.RANK.AVG(Данные!G56,Данные!$G$2:$G$75,1)</f>
        <v>48</v>
      </c>
      <c r="M986" s="5"/>
      <c r="N986" s="5"/>
      <c r="O986" s="5">
        <f>Данные!B56+(-0.035)</f>
        <v>3.9649999999999999</v>
      </c>
      <c r="P986" s="5">
        <f>Данные!G56</f>
        <v>9</v>
      </c>
      <c r="Q986" s="5"/>
    </row>
    <row r="987" spans="1:17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>
        <f>_xlfn.RANK.AVG(Данные!B57,Данные!$B$2:$B$75,1)</f>
        <v>56.5</v>
      </c>
      <c r="L987" s="5">
        <f>_xlfn.RANK.AVG(Данные!G57,Данные!$G$2:$G$75,1)</f>
        <v>61.5</v>
      </c>
      <c r="M987" s="5"/>
      <c r="N987" s="5"/>
      <c r="O987" s="5">
        <f>Данные!B57+(0)</f>
        <v>4</v>
      </c>
      <c r="P987" s="5">
        <f>Данные!G57</f>
        <v>10</v>
      </c>
      <c r="Q987" s="5"/>
    </row>
    <row r="988" spans="1:17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>
        <f>_xlfn.RANK.AVG(Данные!B58,Данные!$B$2:$B$75,1)</f>
        <v>56.5</v>
      </c>
      <c r="L988" s="5">
        <f>_xlfn.RANK.AVG(Данные!G58,Данные!$G$2:$G$75,1)</f>
        <v>70.5</v>
      </c>
      <c r="M988" s="5"/>
      <c r="N988" s="5"/>
      <c r="O988" s="5">
        <f>Данные!B58+(-0.07)</f>
        <v>3.93</v>
      </c>
      <c r="P988" s="5">
        <f>Данные!G58</f>
        <v>11</v>
      </c>
      <c r="Q988" s="5"/>
    </row>
    <row r="989" spans="1:17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>
        <f>_xlfn.RANK.AVG(Данные!B59,Данные!$B$2:$B$75,1)</f>
        <v>56.5</v>
      </c>
      <c r="L989" s="5">
        <f>_xlfn.RANK.AVG(Данные!G59,Данные!$G$2:$G$75,1)</f>
        <v>48</v>
      </c>
      <c r="M989" s="5"/>
      <c r="N989" s="5"/>
      <c r="O989" s="5">
        <f>Данные!B59+(0)</f>
        <v>4</v>
      </c>
      <c r="P989" s="5">
        <f>Данные!G59</f>
        <v>9</v>
      </c>
      <c r="Q989" s="5"/>
    </row>
    <row r="990" spans="1:17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>
        <f>_xlfn.RANK.AVG(Данные!B60,Данные!$B$2:$B$75,1)</f>
        <v>56.5</v>
      </c>
      <c r="L990" s="5">
        <f>_xlfn.RANK.AVG(Данные!G60,Данные!$G$2:$G$75,1)</f>
        <v>30</v>
      </c>
      <c r="M990" s="5"/>
      <c r="N990" s="5"/>
      <c r="O990" s="5">
        <f>Данные!B60+(-0.07)</f>
        <v>3.93</v>
      </c>
      <c r="P990" s="5">
        <f>Данные!G60</f>
        <v>8</v>
      </c>
      <c r="Q990" s="5"/>
    </row>
    <row r="991" spans="1:17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>
        <f>_xlfn.RANK.AVG(Данные!B61,Данные!$B$2:$B$75,1)</f>
        <v>71.5</v>
      </c>
      <c r="L991" s="5">
        <f>_xlfn.RANK.AVG(Данные!G61,Данные!$G$2:$G$75,1)</f>
        <v>30</v>
      </c>
      <c r="M991" s="5"/>
      <c r="N991" s="5"/>
      <c r="O991" s="5">
        <f>Данные!B61+(-0.105)</f>
        <v>4.8949999999999996</v>
      </c>
      <c r="P991" s="5">
        <f>Данные!G61</f>
        <v>8</v>
      </c>
      <c r="Q991" s="5"/>
    </row>
    <row r="992" spans="1:17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>
        <f>_xlfn.RANK.AVG(Данные!B62,Данные!$B$2:$B$75,1)</f>
        <v>56.5</v>
      </c>
      <c r="L992" s="5">
        <f>_xlfn.RANK.AVG(Данные!G62,Данные!$G$2:$G$75,1)</f>
        <v>30</v>
      </c>
      <c r="M992" s="5"/>
      <c r="N992" s="5"/>
      <c r="O992" s="5">
        <f>Данные!B62+(-0.035)</f>
        <v>3.9649999999999999</v>
      </c>
      <c r="P992" s="5">
        <f>Данные!G62</f>
        <v>8</v>
      </c>
      <c r="Q992" s="5"/>
    </row>
    <row r="993" spans="1:17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>
        <f>_xlfn.RANK.AVG(Данные!B63,Данные!$B$2:$B$75,1)</f>
        <v>56.5</v>
      </c>
      <c r="L993" s="5">
        <f>_xlfn.RANK.AVG(Данные!G63,Данные!$G$2:$G$75,1)</f>
        <v>8.5</v>
      </c>
      <c r="M993" s="5"/>
      <c r="N993" s="5"/>
      <c r="O993" s="5">
        <f>Данные!B63+(-0.105)</f>
        <v>3.895</v>
      </c>
      <c r="P993" s="5">
        <f>Данные!G63</f>
        <v>6</v>
      </c>
      <c r="Q993" s="5"/>
    </row>
    <row r="994" spans="1:17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>
        <f>_xlfn.RANK.AVG(Данные!B64,Данные!$B$2:$B$75,1)</f>
        <v>56.5</v>
      </c>
      <c r="L994" s="5">
        <f>_xlfn.RANK.AVG(Данные!G64,Данные!$G$2:$G$75,1)</f>
        <v>61.5</v>
      </c>
      <c r="M994" s="5"/>
      <c r="N994" s="5"/>
      <c r="O994" s="5">
        <f>Данные!B64+(0.035)</f>
        <v>4.0350000000000001</v>
      </c>
      <c r="P994" s="5">
        <f>Данные!G64</f>
        <v>10</v>
      </c>
      <c r="Q994" s="5"/>
    </row>
    <row r="995" spans="1:17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>
        <f>_xlfn.RANK.AVG(Данные!B65,Данные!$B$2:$B$75,1)</f>
        <v>56.5</v>
      </c>
      <c r="L995" s="5">
        <f>_xlfn.RANK.AVG(Данные!G65,Данные!$G$2:$G$75,1)</f>
        <v>30</v>
      </c>
      <c r="M995" s="5"/>
      <c r="N995" s="5"/>
      <c r="O995" s="5">
        <f>Данные!B65+(0)</f>
        <v>4</v>
      </c>
      <c r="P995" s="5">
        <f>Данные!G65</f>
        <v>8</v>
      </c>
      <c r="Q995" s="5"/>
    </row>
    <row r="996" spans="1:17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>
        <f>_xlfn.RANK.AVG(Данные!B66,Данные!$B$2:$B$75,1)</f>
        <v>56.5</v>
      </c>
      <c r="L996" s="5">
        <f>_xlfn.RANK.AVG(Данные!G66,Данные!$G$2:$G$75,1)</f>
        <v>30</v>
      </c>
      <c r="M996" s="5"/>
      <c r="N996" s="5"/>
      <c r="O996" s="5">
        <f>Данные!B66+(0.035)</f>
        <v>4.0350000000000001</v>
      </c>
      <c r="P996" s="5">
        <f>Данные!G66</f>
        <v>8</v>
      </c>
      <c r="Q996" s="5"/>
    </row>
    <row r="997" spans="1:17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>
        <f>_xlfn.RANK.AVG(Данные!B67,Данные!$B$2:$B$75,1)</f>
        <v>71.5</v>
      </c>
      <c r="L997" s="5">
        <f>_xlfn.RANK.AVG(Данные!G67,Данные!$G$2:$G$75,1)</f>
        <v>70.5</v>
      </c>
      <c r="M997" s="5"/>
      <c r="N997" s="5"/>
      <c r="O997" s="5">
        <f>Данные!B67+(-0.105)</f>
        <v>4.8949999999999996</v>
      </c>
      <c r="P997" s="5">
        <f>Данные!G67</f>
        <v>11</v>
      </c>
      <c r="Q997" s="5"/>
    </row>
    <row r="998" spans="1:17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>
        <f>_xlfn.RANK.AVG(Данные!B68,Данные!$B$2:$B$75,1)</f>
        <v>71.5</v>
      </c>
      <c r="L998" s="5">
        <f>_xlfn.RANK.AVG(Данные!G68,Данные!$G$2:$G$75,1)</f>
        <v>48</v>
      </c>
      <c r="M998" s="5"/>
      <c r="N998" s="5"/>
      <c r="O998" s="5">
        <f>Данные!B68+(-0.105)</f>
        <v>4.8949999999999996</v>
      </c>
      <c r="P998" s="5">
        <f>Данные!G68</f>
        <v>9</v>
      </c>
      <c r="Q998" s="5"/>
    </row>
    <row r="999" spans="1:17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>
        <f>_xlfn.RANK.AVG(Данные!B69,Данные!$B$2:$B$75,1)</f>
        <v>56.5</v>
      </c>
      <c r="L999" s="5">
        <f>_xlfn.RANK.AVG(Данные!G69,Данные!$G$2:$G$75,1)</f>
        <v>74</v>
      </c>
      <c r="M999" s="5"/>
      <c r="N999" s="5"/>
      <c r="O999" s="5">
        <f>Данные!B69+(-0.105)</f>
        <v>3.895</v>
      </c>
      <c r="P999" s="5">
        <f>Данные!G69</f>
        <v>12</v>
      </c>
      <c r="Q999" s="5"/>
    </row>
    <row r="1000" spans="1:17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>
        <f>_xlfn.RANK.AVG(Данные!B70,Данные!$B$2:$B$75,1)</f>
        <v>56.5</v>
      </c>
      <c r="L1000" s="5">
        <f>_xlfn.RANK.AVG(Данные!G70,Данные!$G$2:$G$75,1)</f>
        <v>48</v>
      </c>
      <c r="M1000" s="5"/>
      <c r="N1000" s="5"/>
      <c r="O1000" s="5">
        <f>Данные!B70+(0.035)</f>
        <v>4.0350000000000001</v>
      </c>
      <c r="P1000" s="5">
        <f>Данные!G70</f>
        <v>9</v>
      </c>
      <c r="Q1000" s="5"/>
    </row>
    <row r="1001" spans="1:17" x14ac:dyDescent="0.2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>
        <f>_xlfn.RANK.AVG(Данные!B71,Данные!$B$2:$B$75,1)</f>
        <v>71.5</v>
      </c>
      <c r="L1001" s="5">
        <f>_xlfn.RANK.AVG(Данные!G71,Данные!$G$2:$G$75,1)</f>
        <v>30</v>
      </c>
      <c r="M1001" s="5"/>
      <c r="N1001" s="5"/>
      <c r="O1001" s="5">
        <f>Данные!B71+(-0.07)</f>
        <v>4.93</v>
      </c>
      <c r="P1001" s="5">
        <f>Данные!G71</f>
        <v>8</v>
      </c>
      <c r="Q1001" s="5"/>
    </row>
    <row r="1002" spans="1:17" x14ac:dyDescent="0.25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>
        <f>_xlfn.RANK.AVG(Данные!B72,Данные!$B$2:$B$75,1)</f>
        <v>71.5</v>
      </c>
      <c r="L1002" s="5">
        <f>_xlfn.RANK.AVG(Данные!G72,Данные!$G$2:$G$75,1)</f>
        <v>30</v>
      </c>
      <c r="M1002" s="5"/>
      <c r="N1002" s="5"/>
      <c r="O1002" s="5">
        <f>Данные!B72+(-0.035)</f>
        <v>4.9649999999999999</v>
      </c>
      <c r="P1002" s="5">
        <f>Данные!G72</f>
        <v>8</v>
      </c>
      <c r="Q1002" s="5"/>
    </row>
    <row r="1003" spans="1:17" x14ac:dyDescent="0.25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>
        <f>_xlfn.RANK.AVG(Данные!B73,Данные!$B$2:$B$75,1)</f>
        <v>71.5</v>
      </c>
      <c r="L1003" s="5">
        <f>_xlfn.RANK.AVG(Данные!G73,Данные!$G$2:$G$75,1)</f>
        <v>16</v>
      </c>
      <c r="M1003" s="5"/>
      <c r="N1003" s="5"/>
      <c r="O1003" s="5">
        <f>Данные!B73+(-0.105)</f>
        <v>4.8949999999999996</v>
      </c>
      <c r="P1003" s="5">
        <f>Данные!G73</f>
        <v>7</v>
      </c>
      <c r="Q1003" s="5"/>
    </row>
    <row r="1004" spans="1:17" x14ac:dyDescent="0.25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>
        <f>_xlfn.RANK.AVG(Данные!B74,Данные!$B$2:$B$75,1)</f>
        <v>56.5</v>
      </c>
      <c r="L1004" s="5">
        <f>_xlfn.RANK.AVG(Данные!G74,Данные!$G$2:$G$75,1)</f>
        <v>48</v>
      </c>
      <c r="M1004" s="5"/>
      <c r="N1004" s="5"/>
      <c r="O1004" s="5">
        <f>Данные!B74+(0.07)</f>
        <v>4.07</v>
      </c>
      <c r="P1004" s="5">
        <f>Данные!G74</f>
        <v>9</v>
      </c>
      <c r="Q1004" s="5"/>
    </row>
    <row r="1005" spans="1:17" x14ac:dyDescent="0.25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>
        <f>_xlfn.RANK.AVG(Данные!B75,Данные!$B$2:$B$75,1)</f>
        <v>56.5</v>
      </c>
      <c r="L1005" s="5">
        <f>_xlfn.RANK.AVG(Данные!G75,Данные!$G$2:$G$75,1)</f>
        <v>30</v>
      </c>
      <c r="M1005" s="5"/>
      <c r="N1005" s="5"/>
      <c r="O1005" s="5">
        <f>Данные!B75+(0.07)</f>
        <v>4.07</v>
      </c>
      <c r="P1005" s="5">
        <f>Данные!G75</f>
        <v>8</v>
      </c>
      <c r="Q1005" s="5"/>
    </row>
    <row r="1006" spans="1:17" x14ac:dyDescent="0.25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</row>
    <row r="1007" spans="1:17" x14ac:dyDescent="0.25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</row>
    <row r="1008" spans="1:17" x14ac:dyDescent="0.25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</row>
    <row r="1009" spans="1:17" x14ac:dyDescent="0.25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</row>
    <row r="1010" spans="1:17" x14ac:dyDescent="0.25">
      <c r="A1010" s="5"/>
      <c r="B1010" s="5"/>
      <c r="C1010" s="5"/>
      <c r="D1010" s="5" t="s">
        <v>51</v>
      </c>
      <c r="E1010" s="5">
        <v>1</v>
      </c>
      <c r="F1010" s="5">
        <v>2</v>
      </c>
      <c r="G1010" s="5">
        <v>3</v>
      </c>
      <c r="H1010" s="5">
        <v>4</v>
      </c>
      <c r="I1010" s="5">
        <v>5</v>
      </c>
      <c r="J1010" s="5"/>
      <c r="K1010" s="5"/>
      <c r="L1010" s="5"/>
      <c r="M1010" s="5"/>
      <c r="N1010" s="5"/>
      <c r="O1010" s="5"/>
      <c r="P1010" s="5"/>
      <c r="Q1010" s="5"/>
    </row>
    <row r="1011" spans="1:17" x14ac:dyDescent="0.25">
      <c r="A1011" s="5"/>
      <c r="B1011" s="5"/>
      <c r="C1011" s="5"/>
      <c r="D1011" s="5" t="s">
        <v>58</v>
      </c>
      <c r="E1011" s="5">
        <f>COUNT(E932:E938)</f>
        <v>7</v>
      </c>
      <c r="F1011" s="5">
        <f>COUNT(F932:F943)</f>
        <v>12</v>
      </c>
      <c r="G1011" s="5">
        <f>COUNT(G932:G956)</f>
        <v>25</v>
      </c>
      <c r="H1011" s="5">
        <f>COUNT(H932:H955)</f>
        <v>24</v>
      </c>
      <c r="I1011" s="5">
        <f>COUNT(I932:I937)</f>
        <v>6</v>
      </c>
      <c r="J1011" s="5"/>
      <c r="K1011" s="5"/>
      <c r="L1011" s="5"/>
      <c r="M1011" s="5"/>
      <c r="N1011" s="5"/>
      <c r="O1011" s="5"/>
      <c r="P1011" s="5"/>
      <c r="Q1011" s="5"/>
    </row>
    <row r="1012" spans="1:17" x14ac:dyDescent="0.25">
      <c r="A1012" s="5"/>
      <c r="B1012" s="5"/>
      <c r="C1012" s="5"/>
      <c r="D1012" s="5" t="s">
        <v>59</v>
      </c>
      <c r="E1012" s="9">
        <f>AVERAGE(E932:E938)</f>
        <v>8.2857142857142865</v>
      </c>
      <c r="F1012" s="9">
        <f>AVERAGE(F932:F943)</f>
        <v>8.4166666666666661</v>
      </c>
      <c r="G1012" s="9">
        <f>AVERAGE(G932:G956)</f>
        <v>7.96</v>
      </c>
      <c r="H1012" s="9">
        <f>AVERAGE(H932:H955)</f>
        <v>8.7083333333333339</v>
      </c>
      <c r="I1012" s="9">
        <f>AVERAGE(I932:I937)</f>
        <v>8.5</v>
      </c>
      <c r="J1012" s="5"/>
      <c r="K1012" s="5"/>
      <c r="L1012" s="5"/>
      <c r="M1012" s="5"/>
      <c r="N1012" s="5"/>
      <c r="O1012" s="5"/>
      <c r="P1012" s="5"/>
      <c r="Q1012" s="5"/>
    </row>
    <row r="1013" spans="1:17" x14ac:dyDescent="0.25">
      <c r="A1013" s="5"/>
      <c r="B1013" s="5"/>
      <c r="C1013" s="5"/>
      <c r="D1013" s="5" t="s">
        <v>60</v>
      </c>
      <c r="E1013" s="9">
        <f>_xlfn.QUARTILE.INC(E932:E938,1)</f>
        <v>7.5</v>
      </c>
      <c r="F1013" s="9">
        <f>_xlfn.QUARTILE.INC(F932:F943,1)</f>
        <v>7</v>
      </c>
      <c r="G1013" s="9">
        <f>_xlfn.QUARTILE.INC(G932:G956,1)</f>
        <v>7</v>
      </c>
      <c r="H1013" s="9">
        <f>_xlfn.QUARTILE.INC(H932:H955,1)</f>
        <v>8</v>
      </c>
      <c r="I1013" s="9">
        <f>_xlfn.QUARTILE.INC(I932:I937,1)</f>
        <v>8</v>
      </c>
      <c r="J1013" s="5"/>
      <c r="K1013" s="5"/>
      <c r="L1013" s="5"/>
      <c r="M1013" s="5"/>
      <c r="N1013" s="5"/>
      <c r="O1013" s="5"/>
      <c r="P1013" s="5"/>
      <c r="Q1013" s="5"/>
    </row>
    <row r="1014" spans="1:17" x14ac:dyDescent="0.25">
      <c r="A1014" s="5"/>
      <c r="B1014" s="5"/>
      <c r="C1014" s="5"/>
      <c r="D1014" s="5" t="s">
        <v>61</v>
      </c>
      <c r="E1014" s="9">
        <f>MEDIAN(E932:E938)</f>
        <v>9</v>
      </c>
      <c r="F1014" s="9">
        <f>MEDIAN(F932:F943)</f>
        <v>9</v>
      </c>
      <c r="G1014" s="9">
        <f>MEDIAN(G932:G956)</f>
        <v>8</v>
      </c>
      <c r="H1014" s="9">
        <f>MEDIAN(H932:H955)</f>
        <v>9</v>
      </c>
      <c r="I1014" s="9">
        <f>MEDIAN(I932:I937)</f>
        <v>8</v>
      </c>
      <c r="J1014" s="5"/>
      <c r="K1014" s="5"/>
      <c r="L1014" s="5"/>
      <c r="M1014" s="5"/>
      <c r="N1014" s="5"/>
      <c r="O1014" s="5"/>
      <c r="P1014" s="5"/>
      <c r="Q1014" s="5"/>
    </row>
    <row r="1015" spans="1:17" x14ac:dyDescent="0.25">
      <c r="A1015" s="5"/>
      <c r="B1015" s="5"/>
      <c r="C1015" s="5"/>
      <c r="D1015" s="5" t="s">
        <v>62</v>
      </c>
      <c r="E1015" s="9">
        <f>_xlfn.QUARTILE.INC(E932:E938,3)</f>
        <v>9.5</v>
      </c>
      <c r="F1015" s="9">
        <f>_xlfn.QUARTILE.INC(F932:F943,3)</f>
        <v>9.25</v>
      </c>
      <c r="G1015" s="9">
        <f>_xlfn.QUARTILE.INC(G932:G956,3)</f>
        <v>9</v>
      </c>
      <c r="H1015" s="9">
        <f>_xlfn.QUARTILE.INC(H932:H955,3)</f>
        <v>10</v>
      </c>
      <c r="I1015" s="9">
        <f>_xlfn.QUARTILE.INC(I932:I937,3)</f>
        <v>8.75</v>
      </c>
      <c r="J1015" s="5"/>
      <c r="K1015" s="5"/>
      <c r="L1015" s="5"/>
      <c r="M1015" s="5"/>
      <c r="N1015" s="5"/>
      <c r="O1015" s="5"/>
      <c r="P1015" s="5"/>
      <c r="Q1015" s="5"/>
    </row>
    <row r="1016" spans="1:17" x14ac:dyDescent="0.25">
      <c r="A1016" s="5"/>
      <c r="B1016" s="5"/>
      <c r="C1016" s="5"/>
      <c r="D1016" s="5" t="s">
        <v>63</v>
      </c>
      <c r="E1016" s="9">
        <f>E1015-E1013</f>
        <v>2</v>
      </c>
      <c r="F1016" s="9">
        <f>F1015-F1013</f>
        <v>2.25</v>
      </c>
      <c r="G1016" s="9">
        <f>G1015-G1013</f>
        <v>2</v>
      </c>
      <c r="H1016" s="9">
        <f>H1015-H1013</f>
        <v>2</v>
      </c>
      <c r="I1016" s="9">
        <f>I1015-I1013</f>
        <v>0.75</v>
      </c>
      <c r="J1016" s="5"/>
      <c r="K1016" s="5"/>
      <c r="L1016" s="5"/>
      <c r="M1016" s="5"/>
      <c r="N1016" s="5"/>
      <c r="O1016" s="5"/>
      <c r="P1016" s="5"/>
      <c r="Q1016" s="5"/>
    </row>
    <row r="1017" spans="1:17" x14ac:dyDescent="0.25">
      <c r="A1017" s="5"/>
      <c r="B1017" s="5"/>
      <c r="C1017" s="5"/>
      <c r="D1017" s="5" t="s">
        <v>64</v>
      </c>
      <c r="E1017" s="9">
        <f>E1013-1.5*E1016</f>
        <v>4.5</v>
      </c>
      <c r="F1017" s="9">
        <f>F1013-1.5*F1016</f>
        <v>3.625</v>
      </c>
      <c r="G1017" s="9">
        <f>G1013-1.5*G1016</f>
        <v>4</v>
      </c>
      <c r="H1017" s="9">
        <f>H1013-1.5*H1016</f>
        <v>5</v>
      </c>
      <c r="I1017" s="9">
        <f>I1013-1.5*I1016</f>
        <v>6.875</v>
      </c>
      <c r="J1017" s="5"/>
      <c r="K1017" s="5"/>
      <c r="L1017" s="5"/>
      <c r="M1017" s="5"/>
      <c r="N1017" s="5"/>
      <c r="O1017" s="5"/>
      <c r="P1017" s="5"/>
      <c r="Q1017" s="5"/>
    </row>
    <row r="1018" spans="1:17" x14ac:dyDescent="0.25">
      <c r="A1018" s="5"/>
      <c r="B1018" s="5"/>
      <c r="C1018" s="5"/>
      <c r="D1018" s="5" t="s">
        <v>65</v>
      </c>
      <c r="E1018" s="9">
        <f>E1015+1.5*E1016</f>
        <v>12.5</v>
      </c>
      <c r="F1018" s="9">
        <f>F1015+1.5*F1016</f>
        <v>12.625</v>
      </c>
      <c r="G1018" s="9">
        <f>G1015+1.5*G1016</f>
        <v>12</v>
      </c>
      <c r="H1018" s="9">
        <f>H1015+1.5*H1016</f>
        <v>13</v>
      </c>
      <c r="I1018" s="9">
        <f>I1015+1.5*I1016</f>
        <v>9.875</v>
      </c>
      <c r="J1018" s="5"/>
      <c r="K1018" s="5"/>
      <c r="L1018" s="5"/>
      <c r="M1018" s="5"/>
      <c r="N1018" s="5"/>
      <c r="O1018" s="5"/>
      <c r="P1018" s="5"/>
      <c r="Q1018" s="5"/>
    </row>
    <row r="1019" spans="1:17" x14ac:dyDescent="0.25">
      <c r="A1019" s="5"/>
      <c r="B1019" s="5"/>
      <c r="C1019" s="5"/>
      <c r="D1019" s="5" t="s">
        <v>66</v>
      </c>
      <c r="E1019" s="9">
        <f>_xlfn.MINIFS(E932:E938,E932:E938,"&gt;="&amp;E1017)</f>
        <v>5</v>
      </c>
      <c r="F1019" s="9">
        <f>_xlfn.MINIFS(F932:F943,F932:F943,"&gt;="&amp;F1017)</f>
        <v>6</v>
      </c>
      <c r="G1019" s="9">
        <f>_xlfn.MINIFS(G932:G956,G932:G956,"&gt;="&amp;G1017)</f>
        <v>5</v>
      </c>
      <c r="H1019" s="9">
        <f>_xlfn.MINIFS(H932:H955,H932:H955,"&gt;="&amp;H1017)</f>
        <v>5</v>
      </c>
      <c r="I1019" s="9">
        <f>_xlfn.MINIFS(I932:I937,I932:I937,"&gt;="&amp;I1017)</f>
        <v>7</v>
      </c>
      <c r="J1019" s="5"/>
      <c r="K1019" s="5"/>
      <c r="L1019" s="5"/>
      <c r="M1019" s="5"/>
      <c r="N1019" s="5"/>
      <c r="O1019" s="5"/>
      <c r="P1019" s="5"/>
      <c r="Q1019" s="5"/>
    </row>
    <row r="1020" spans="1:17" x14ac:dyDescent="0.25">
      <c r="A1020" s="5"/>
      <c r="B1020" s="5"/>
      <c r="C1020" s="5"/>
      <c r="D1020" s="5" t="s">
        <v>67</v>
      </c>
      <c r="E1020" s="9">
        <f>_xlfn.MAXIFS(E932:E938,E932:E938,"&lt;="&amp;E1018)</f>
        <v>10</v>
      </c>
      <c r="F1020" s="9">
        <f>_xlfn.MAXIFS(F932:F943,F932:F943,"&lt;="&amp;F1018)</f>
        <v>11</v>
      </c>
      <c r="G1020" s="9">
        <f>_xlfn.MAXIFS(G932:G956,G932:G956,"&lt;="&amp;G1018)</f>
        <v>11</v>
      </c>
      <c r="H1020" s="9">
        <f>_xlfn.MAXIFS(H932:H955,H932:H955,"&lt;="&amp;H1018)</f>
        <v>12</v>
      </c>
      <c r="I1020" s="9">
        <f>_xlfn.MAXIFS(I932:I937,I932:I937,"&lt;="&amp;I1018)</f>
        <v>9</v>
      </c>
      <c r="J1020" s="5"/>
      <c r="K1020" s="5"/>
      <c r="L1020" s="5"/>
      <c r="M1020" s="5"/>
      <c r="N1020" s="5"/>
      <c r="O1020" s="5"/>
      <c r="P1020" s="5"/>
      <c r="Q1020" s="5"/>
    </row>
    <row r="1021" spans="1:17" x14ac:dyDescent="0.25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</row>
    <row r="1022" spans="1:17" x14ac:dyDescent="0.25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</row>
    <row r="1023" spans="1:17" x14ac:dyDescent="0.25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</row>
    <row r="1024" spans="1:17" x14ac:dyDescent="0.25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</row>
    <row r="1025" spans="1:22" x14ac:dyDescent="0.25">
      <c r="A1025" s="5"/>
      <c r="B1025" s="5" t="str">
        <f>Спирман_графики!D135&amp;CHAR(10)&amp;Спирман_графики!B137</f>
        <v>ТК2 в зависимости от Л1
ρ = 0,079; p = 0,5034; n = 74</v>
      </c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</row>
    <row r="1026" spans="1:22" x14ac:dyDescent="0.25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</row>
    <row r="1027" spans="1:22" x14ac:dyDescent="0.25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</row>
    <row r="1028" spans="1:22" x14ac:dyDescent="0.25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</row>
    <row r="1029" spans="1:22" x14ac:dyDescent="0.25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U1029" t="s">
        <v>68</v>
      </c>
    </row>
    <row r="1030" spans="1:22" x14ac:dyDescent="0.25">
      <c r="A1030" s="5">
        <v>0.75</v>
      </c>
      <c r="B1030" s="5">
        <f>E1013</f>
        <v>7.5</v>
      </c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U1030">
        <f>A1036</f>
        <v>0.75</v>
      </c>
      <c r="V1030">
        <f>B1036</f>
        <v>9</v>
      </c>
    </row>
    <row r="1031" spans="1:22" x14ac:dyDescent="0.25">
      <c r="A1031" s="5">
        <v>1.25</v>
      </c>
      <c r="B1031" s="5">
        <f>E1013</f>
        <v>7.5</v>
      </c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U1031">
        <f>A1037</f>
        <v>1.25</v>
      </c>
      <c r="V1031">
        <f>B1037</f>
        <v>9</v>
      </c>
    </row>
    <row r="1032" spans="1:22" x14ac:dyDescent="0.25">
      <c r="A1032" s="5">
        <v>1.25</v>
      </c>
      <c r="B1032" s="5">
        <f>E1015</f>
        <v>9.5</v>
      </c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</row>
    <row r="1033" spans="1:22" x14ac:dyDescent="0.25">
      <c r="A1033" s="5">
        <v>0.75</v>
      </c>
      <c r="B1033" s="5">
        <f>E1015</f>
        <v>9.5</v>
      </c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U1033">
        <f>A1055</f>
        <v>1.75</v>
      </c>
      <c r="V1033">
        <f>B1055</f>
        <v>9</v>
      </c>
    </row>
    <row r="1034" spans="1:22" x14ac:dyDescent="0.25">
      <c r="A1034" s="5">
        <v>0.75</v>
      </c>
      <c r="B1034" s="5">
        <f>E1013</f>
        <v>7.5</v>
      </c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U1034">
        <f>A1056</f>
        <v>2.25</v>
      </c>
      <c r="V1034">
        <f>B1056</f>
        <v>9</v>
      </c>
    </row>
    <row r="1035" spans="1:22" x14ac:dyDescent="0.25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</row>
    <row r="1036" spans="1:22" x14ac:dyDescent="0.25">
      <c r="A1036" s="5">
        <v>0.75</v>
      </c>
      <c r="B1036" s="5">
        <f>E1014</f>
        <v>9</v>
      </c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U1036">
        <f>A1074</f>
        <v>2.75</v>
      </c>
      <c r="V1036">
        <f>B1074</f>
        <v>8</v>
      </c>
    </row>
    <row r="1037" spans="1:22" x14ac:dyDescent="0.25">
      <c r="A1037" s="5">
        <v>1.25</v>
      </c>
      <c r="B1037" s="5">
        <f>E1014</f>
        <v>9</v>
      </c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U1037">
        <f>A1075</f>
        <v>3.25</v>
      </c>
      <c r="V1037">
        <f>B1075</f>
        <v>8</v>
      </c>
    </row>
    <row r="1038" spans="1:22" x14ac:dyDescent="0.25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</row>
    <row r="1039" spans="1:22" x14ac:dyDescent="0.25">
      <c r="A1039" s="5">
        <v>0.87</v>
      </c>
      <c r="B1039" s="5">
        <f>E1019</f>
        <v>5</v>
      </c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U1039">
        <f>A1093</f>
        <v>3.75</v>
      </c>
      <c r="V1039">
        <f>B1093</f>
        <v>9</v>
      </c>
    </row>
    <row r="1040" spans="1:22" x14ac:dyDescent="0.25">
      <c r="A1040" s="5">
        <v>1.1299999999999999</v>
      </c>
      <c r="B1040" s="5">
        <f>E1019</f>
        <v>5</v>
      </c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U1040">
        <f>A1094</f>
        <v>4.25</v>
      </c>
      <c r="V1040">
        <f>B1094</f>
        <v>9</v>
      </c>
    </row>
    <row r="1041" spans="1:22" x14ac:dyDescent="0.25">
      <c r="A1041" s="5">
        <v>1</v>
      </c>
      <c r="B1041" s="5">
        <f>E1019</f>
        <v>5</v>
      </c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</row>
    <row r="1042" spans="1:22" x14ac:dyDescent="0.25">
      <c r="A1042" s="5">
        <v>1</v>
      </c>
      <c r="B1042" s="5">
        <f>E1013</f>
        <v>7.5</v>
      </c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U1042">
        <f>A1112</f>
        <v>4.75</v>
      </c>
      <c r="V1042">
        <f>B1112</f>
        <v>8</v>
      </c>
    </row>
    <row r="1043" spans="1:22" x14ac:dyDescent="0.25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U1043">
        <f>A1113</f>
        <v>5.25</v>
      </c>
      <c r="V1043">
        <f>B1113</f>
        <v>8</v>
      </c>
    </row>
    <row r="1044" spans="1:22" x14ac:dyDescent="0.25">
      <c r="A1044" s="5">
        <v>1</v>
      </c>
      <c r="B1044" s="5">
        <f>E1015</f>
        <v>9.5</v>
      </c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5"/>
      <c r="P1044" s="5"/>
      <c r="Q1044" s="5"/>
    </row>
    <row r="1045" spans="1:22" x14ac:dyDescent="0.25">
      <c r="A1045" s="5">
        <v>1</v>
      </c>
      <c r="B1045" s="5">
        <f>E1020</f>
        <v>10</v>
      </c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</row>
    <row r="1046" spans="1:22" x14ac:dyDescent="0.25">
      <c r="A1046" s="5">
        <v>0.87</v>
      </c>
      <c r="B1046" s="5">
        <f>E1020</f>
        <v>10</v>
      </c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</row>
    <row r="1047" spans="1:22" x14ac:dyDescent="0.25">
      <c r="A1047" s="5">
        <v>1.1299999999999999</v>
      </c>
      <c r="B1047" s="5">
        <f>E1020</f>
        <v>10</v>
      </c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</row>
    <row r="1048" spans="1:22" x14ac:dyDescent="0.25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</row>
    <row r="1049" spans="1:22" x14ac:dyDescent="0.25">
      <c r="A1049" s="5">
        <v>1.75</v>
      </c>
      <c r="B1049" s="5">
        <f>F1013</f>
        <v>7</v>
      </c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</row>
    <row r="1050" spans="1:22" x14ac:dyDescent="0.25">
      <c r="A1050" s="5">
        <v>2.25</v>
      </c>
      <c r="B1050" s="5">
        <f>F1013</f>
        <v>7</v>
      </c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</row>
    <row r="1051" spans="1:22" x14ac:dyDescent="0.25">
      <c r="A1051" s="5">
        <v>2.25</v>
      </c>
      <c r="B1051" s="5">
        <f>F1015</f>
        <v>9.25</v>
      </c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</row>
    <row r="1052" spans="1:22" x14ac:dyDescent="0.25">
      <c r="A1052" s="5">
        <v>1.75</v>
      </c>
      <c r="B1052" s="5">
        <f>F1015</f>
        <v>9.25</v>
      </c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  <c r="O1052" s="5"/>
      <c r="P1052" s="5"/>
      <c r="Q1052" s="5"/>
    </row>
    <row r="1053" spans="1:22" x14ac:dyDescent="0.25">
      <c r="A1053" s="5">
        <v>1.75</v>
      </c>
      <c r="B1053" s="5">
        <f>F1013</f>
        <v>7</v>
      </c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</row>
    <row r="1054" spans="1:22" x14ac:dyDescent="0.25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</row>
    <row r="1055" spans="1:22" x14ac:dyDescent="0.25">
      <c r="A1055" s="5">
        <v>1.75</v>
      </c>
      <c r="B1055" s="5">
        <f>F1014</f>
        <v>9</v>
      </c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</row>
    <row r="1056" spans="1:22" x14ac:dyDescent="0.25">
      <c r="A1056" s="5">
        <v>2.25</v>
      </c>
      <c r="B1056" s="5">
        <f>F1014</f>
        <v>9</v>
      </c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  <c r="O1056" s="5"/>
      <c r="P1056" s="5"/>
      <c r="Q1056" s="5"/>
    </row>
    <row r="1057" spans="1:17" x14ac:dyDescent="0.25">
      <c r="A1057" s="5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</row>
    <row r="1058" spans="1:17" x14ac:dyDescent="0.25">
      <c r="A1058" s="5">
        <v>1.87</v>
      </c>
      <c r="B1058" s="5">
        <f>F1019</f>
        <v>6</v>
      </c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</row>
    <row r="1059" spans="1:17" x14ac:dyDescent="0.25">
      <c r="A1059" s="5">
        <v>2.13</v>
      </c>
      <c r="B1059" s="5">
        <f>F1019</f>
        <v>6</v>
      </c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</row>
    <row r="1060" spans="1:17" x14ac:dyDescent="0.25">
      <c r="A1060" s="5">
        <v>2</v>
      </c>
      <c r="B1060" s="5">
        <f>F1019</f>
        <v>6</v>
      </c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  <c r="O1060" s="5"/>
      <c r="P1060" s="5"/>
      <c r="Q1060" s="5"/>
    </row>
    <row r="1061" spans="1:17" x14ac:dyDescent="0.25">
      <c r="A1061" s="5">
        <v>2</v>
      </c>
      <c r="B1061" s="5">
        <f>F1013</f>
        <v>7</v>
      </c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</row>
    <row r="1062" spans="1:17" x14ac:dyDescent="0.25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</row>
    <row r="1063" spans="1:17" x14ac:dyDescent="0.25">
      <c r="A1063" s="5">
        <v>2</v>
      </c>
      <c r="B1063" s="5">
        <f>F1015</f>
        <v>9.25</v>
      </c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</row>
    <row r="1064" spans="1:17" x14ac:dyDescent="0.25">
      <c r="A1064" s="5">
        <v>2</v>
      </c>
      <c r="B1064" s="5">
        <f>F1020</f>
        <v>11</v>
      </c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  <c r="O1064" s="5"/>
      <c r="P1064" s="5"/>
      <c r="Q1064" s="5"/>
    </row>
    <row r="1065" spans="1:17" x14ac:dyDescent="0.25">
      <c r="A1065" s="5">
        <v>1.87</v>
      </c>
      <c r="B1065" s="5">
        <f>F1020</f>
        <v>11</v>
      </c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</row>
    <row r="1066" spans="1:17" x14ac:dyDescent="0.25">
      <c r="A1066" s="5">
        <v>2.13</v>
      </c>
      <c r="B1066" s="5">
        <f>F1020</f>
        <v>11</v>
      </c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</row>
    <row r="1067" spans="1:17" x14ac:dyDescent="0.25">
      <c r="A1067" s="5"/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</row>
    <row r="1068" spans="1:17" x14ac:dyDescent="0.25">
      <c r="A1068" s="5">
        <v>2.75</v>
      </c>
      <c r="B1068" s="5">
        <f>G1013</f>
        <v>7</v>
      </c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  <c r="O1068" s="5"/>
      <c r="P1068" s="5"/>
      <c r="Q1068" s="5"/>
    </row>
    <row r="1069" spans="1:17" x14ac:dyDescent="0.25">
      <c r="A1069" s="5">
        <v>3.25</v>
      </c>
      <c r="B1069" s="5">
        <f>G1013</f>
        <v>7</v>
      </c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</row>
    <row r="1070" spans="1:17" x14ac:dyDescent="0.25">
      <c r="A1070" s="5">
        <v>3.25</v>
      </c>
      <c r="B1070" s="5">
        <f>G1015</f>
        <v>9</v>
      </c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</row>
    <row r="1071" spans="1:17" x14ac:dyDescent="0.25">
      <c r="A1071" s="5">
        <v>2.75</v>
      </c>
      <c r="B1071" s="5">
        <f>G1015</f>
        <v>9</v>
      </c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</row>
    <row r="1072" spans="1:17" x14ac:dyDescent="0.25">
      <c r="A1072" s="5">
        <v>2.75</v>
      </c>
      <c r="B1072" s="5">
        <f>G1013</f>
        <v>7</v>
      </c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  <c r="O1072" s="5"/>
      <c r="P1072" s="5"/>
      <c r="Q1072" s="5"/>
    </row>
    <row r="1073" spans="1:17" x14ac:dyDescent="0.25">
      <c r="A1073" s="5"/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</row>
    <row r="1074" spans="1:17" x14ac:dyDescent="0.25">
      <c r="A1074" s="5">
        <v>2.75</v>
      </c>
      <c r="B1074" s="5">
        <f>G1014</f>
        <v>8</v>
      </c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</row>
    <row r="1075" spans="1:17" x14ac:dyDescent="0.25">
      <c r="A1075" s="5">
        <v>3.25</v>
      </c>
      <c r="B1075" s="5">
        <f>G1014</f>
        <v>8</v>
      </c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</row>
    <row r="1076" spans="1:17" x14ac:dyDescent="0.25">
      <c r="A1076" s="5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5"/>
      <c r="Q1076" s="5"/>
    </row>
    <row r="1077" spans="1:17" x14ac:dyDescent="0.25">
      <c r="A1077" s="5">
        <v>2.87</v>
      </c>
      <c r="B1077" s="5">
        <f>G1019</f>
        <v>5</v>
      </c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</row>
    <row r="1078" spans="1:17" x14ac:dyDescent="0.25">
      <c r="A1078" s="5">
        <v>3.13</v>
      </c>
      <c r="B1078" s="5">
        <f>G1019</f>
        <v>5</v>
      </c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</row>
    <row r="1079" spans="1:17" x14ac:dyDescent="0.25">
      <c r="A1079" s="5">
        <v>3</v>
      </c>
      <c r="B1079" s="5">
        <f>G1019</f>
        <v>5</v>
      </c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</row>
    <row r="1080" spans="1:17" x14ac:dyDescent="0.25">
      <c r="A1080" s="5">
        <v>3</v>
      </c>
      <c r="B1080" s="5">
        <f>G1013</f>
        <v>7</v>
      </c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  <c r="O1080" s="5"/>
      <c r="P1080" s="5"/>
      <c r="Q1080" s="5"/>
    </row>
    <row r="1081" spans="1:17" x14ac:dyDescent="0.25">
      <c r="A1081" s="5"/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</row>
    <row r="1082" spans="1:17" x14ac:dyDescent="0.25">
      <c r="A1082" s="5">
        <v>3</v>
      </c>
      <c r="B1082" s="5">
        <f>G1015</f>
        <v>9</v>
      </c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</row>
    <row r="1083" spans="1:17" x14ac:dyDescent="0.25">
      <c r="A1083" s="5">
        <v>3</v>
      </c>
      <c r="B1083" s="5">
        <f>G1020</f>
        <v>11</v>
      </c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</row>
    <row r="1084" spans="1:17" x14ac:dyDescent="0.25">
      <c r="A1084" s="5">
        <v>2.87</v>
      </c>
      <c r="B1084" s="5">
        <f>G1020</f>
        <v>11</v>
      </c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  <c r="O1084" s="5"/>
      <c r="P1084" s="5"/>
      <c r="Q1084" s="5"/>
    </row>
    <row r="1085" spans="1:17" x14ac:dyDescent="0.25">
      <c r="A1085" s="5">
        <v>3.13</v>
      </c>
      <c r="B1085" s="5">
        <f>G1020</f>
        <v>11</v>
      </c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</row>
    <row r="1086" spans="1:17" x14ac:dyDescent="0.25">
      <c r="A1086" s="5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</row>
    <row r="1087" spans="1:17" x14ac:dyDescent="0.25">
      <c r="A1087" s="5">
        <v>3.75</v>
      </c>
      <c r="B1087" s="5">
        <f>H1013</f>
        <v>8</v>
      </c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</row>
    <row r="1088" spans="1:17" x14ac:dyDescent="0.25">
      <c r="A1088" s="5">
        <v>4.25</v>
      </c>
      <c r="B1088" s="5">
        <f>H1013</f>
        <v>8</v>
      </c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  <c r="O1088" s="5"/>
      <c r="P1088" s="5"/>
      <c r="Q1088" s="5"/>
    </row>
    <row r="1089" spans="1:17" x14ac:dyDescent="0.25">
      <c r="A1089" s="5">
        <v>4.25</v>
      </c>
      <c r="B1089" s="5">
        <f>H1015</f>
        <v>10</v>
      </c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</row>
    <row r="1090" spans="1:17" x14ac:dyDescent="0.25">
      <c r="A1090" s="5">
        <v>3.75</v>
      </c>
      <c r="B1090" s="5">
        <f>H1015</f>
        <v>10</v>
      </c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</row>
    <row r="1091" spans="1:17" x14ac:dyDescent="0.25">
      <c r="A1091" s="5">
        <v>3.75</v>
      </c>
      <c r="B1091" s="5">
        <f>H1013</f>
        <v>8</v>
      </c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</row>
    <row r="1092" spans="1:17" x14ac:dyDescent="0.25">
      <c r="A1092" s="5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  <c r="O1092" s="5"/>
      <c r="P1092" s="5"/>
      <c r="Q1092" s="5"/>
    </row>
    <row r="1093" spans="1:17" x14ac:dyDescent="0.25">
      <c r="A1093" s="5">
        <v>3.75</v>
      </c>
      <c r="B1093" s="5">
        <f>H1014</f>
        <v>9</v>
      </c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</row>
    <row r="1094" spans="1:17" x14ac:dyDescent="0.25">
      <c r="A1094" s="5">
        <v>4.25</v>
      </c>
      <c r="B1094" s="5">
        <f>H1014</f>
        <v>9</v>
      </c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</row>
    <row r="1095" spans="1:17" x14ac:dyDescent="0.25">
      <c r="A1095" s="5"/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</row>
    <row r="1096" spans="1:17" x14ac:dyDescent="0.25">
      <c r="A1096" s="5">
        <v>3.87</v>
      </c>
      <c r="B1096" s="5">
        <f>H1019</f>
        <v>5</v>
      </c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  <c r="O1096" s="5"/>
      <c r="P1096" s="5"/>
      <c r="Q1096" s="5"/>
    </row>
    <row r="1097" spans="1:17" x14ac:dyDescent="0.25">
      <c r="A1097" s="5">
        <v>4.13</v>
      </c>
      <c r="B1097" s="5">
        <f>H1019</f>
        <v>5</v>
      </c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</row>
    <row r="1098" spans="1:17" x14ac:dyDescent="0.25">
      <c r="A1098" s="5">
        <v>4</v>
      </c>
      <c r="B1098" s="5">
        <f>H1019</f>
        <v>5</v>
      </c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</row>
    <row r="1099" spans="1:17" x14ac:dyDescent="0.25">
      <c r="A1099" s="5">
        <v>4</v>
      </c>
      <c r="B1099" s="5">
        <f>H1013</f>
        <v>8</v>
      </c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</row>
    <row r="1100" spans="1:17" x14ac:dyDescent="0.25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  <c r="O1100" s="5"/>
      <c r="P1100" s="5"/>
      <c r="Q1100" s="5"/>
    </row>
    <row r="1101" spans="1:17" x14ac:dyDescent="0.25">
      <c r="A1101" s="5">
        <v>4</v>
      </c>
      <c r="B1101" s="5">
        <f>H1015</f>
        <v>10</v>
      </c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</row>
    <row r="1102" spans="1:17" x14ac:dyDescent="0.25">
      <c r="A1102" s="5">
        <v>4</v>
      </c>
      <c r="B1102" s="5">
        <f>H1020</f>
        <v>12</v>
      </c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</row>
    <row r="1103" spans="1:17" x14ac:dyDescent="0.25">
      <c r="A1103" s="5">
        <v>3.87</v>
      </c>
      <c r="B1103" s="5">
        <f>H1020</f>
        <v>12</v>
      </c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</row>
    <row r="1104" spans="1:17" x14ac:dyDescent="0.25">
      <c r="A1104" s="5">
        <v>4.13</v>
      </c>
      <c r="B1104" s="5">
        <f>H1020</f>
        <v>12</v>
      </c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  <c r="O1104" s="5"/>
      <c r="P1104" s="5"/>
      <c r="Q1104" s="5"/>
    </row>
    <row r="1105" spans="1:17" x14ac:dyDescent="0.25">
      <c r="A1105" s="5"/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</row>
    <row r="1106" spans="1:17" x14ac:dyDescent="0.25">
      <c r="A1106" s="5">
        <v>4.75</v>
      </c>
      <c r="B1106" s="5">
        <f>I1013</f>
        <v>8</v>
      </c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</row>
    <row r="1107" spans="1:17" x14ac:dyDescent="0.25">
      <c r="A1107" s="5">
        <v>5.25</v>
      </c>
      <c r="B1107" s="5">
        <f>I1013</f>
        <v>8</v>
      </c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</row>
    <row r="1108" spans="1:17" x14ac:dyDescent="0.25">
      <c r="A1108" s="5">
        <v>5.25</v>
      </c>
      <c r="B1108" s="5">
        <f>I1015</f>
        <v>8.75</v>
      </c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  <c r="O1108" s="5"/>
      <c r="P1108" s="5"/>
      <c r="Q1108" s="5"/>
    </row>
    <row r="1109" spans="1:17" x14ac:dyDescent="0.25">
      <c r="A1109" s="5">
        <v>4.75</v>
      </c>
      <c r="B1109" s="5">
        <f>I1015</f>
        <v>8.75</v>
      </c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</row>
    <row r="1110" spans="1:17" x14ac:dyDescent="0.25">
      <c r="A1110" s="5">
        <v>4.75</v>
      </c>
      <c r="B1110" s="5">
        <f>I1013</f>
        <v>8</v>
      </c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</row>
    <row r="1111" spans="1:17" x14ac:dyDescent="0.25">
      <c r="A1111" s="5"/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</row>
    <row r="1112" spans="1:17" x14ac:dyDescent="0.25">
      <c r="A1112" s="5">
        <v>4.75</v>
      </c>
      <c r="B1112" s="5">
        <f>I1014</f>
        <v>8</v>
      </c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  <c r="O1112" s="5"/>
      <c r="P1112" s="5"/>
      <c r="Q1112" s="5"/>
    </row>
    <row r="1113" spans="1:17" x14ac:dyDescent="0.25">
      <c r="A1113" s="5">
        <v>5.25</v>
      </c>
      <c r="B1113" s="5">
        <f>I1014</f>
        <v>8</v>
      </c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</row>
    <row r="1114" spans="1:17" x14ac:dyDescent="0.25">
      <c r="A1114" s="5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</row>
    <row r="1115" spans="1:17" x14ac:dyDescent="0.25">
      <c r="A1115" s="5">
        <v>4.87</v>
      </c>
      <c r="B1115" s="5">
        <f>I1019</f>
        <v>7</v>
      </c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</row>
    <row r="1116" spans="1:17" x14ac:dyDescent="0.25">
      <c r="A1116" s="5">
        <v>5.13</v>
      </c>
      <c r="B1116" s="5">
        <f>I1019</f>
        <v>7</v>
      </c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  <c r="O1116" s="5"/>
      <c r="P1116" s="5"/>
      <c r="Q1116" s="5"/>
    </row>
    <row r="1117" spans="1:17" x14ac:dyDescent="0.25">
      <c r="A1117" s="5">
        <v>5</v>
      </c>
      <c r="B1117" s="5">
        <f>I1019</f>
        <v>7</v>
      </c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</row>
    <row r="1118" spans="1:17" x14ac:dyDescent="0.25">
      <c r="A1118" s="5">
        <v>5</v>
      </c>
      <c r="B1118" s="5">
        <f>I1013</f>
        <v>8</v>
      </c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</row>
    <row r="1119" spans="1:17" x14ac:dyDescent="0.25">
      <c r="A1119" s="5"/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</row>
    <row r="1120" spans="1:17" x14ac:dyDescent="0.25">
      <c r="A1120" s="5">
        <v>5</v>
      </c>
      <c r="B1120" s="5">
        <f>I1015</f>
        <v>8.75</v>
      </c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5"/>
      <c r="Q1120" s="5"/>
    </row>
    <row r="1121" spans="1:17" x14ac:dyDescent="0.25">
      <c r="A1121" s="5">
        <v>5</v>
      </c>
      <c r="B1121" s="5">
        <f>I1020</f>
        <v>9</v>
      </c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</row>
    <row r="1122" spans="1:17" x14ac:dyDescent="0.25">
      <c r="A1122" s="5">
        <v>4.87</v>
      </c>
      <c r="B1122" s="5">
        <f>I1020</f>
        <v>9</v>
      </c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</row>
    <row r="1123" spans="1:17" x14ac:dyDescent="0.25">
      <c r="A1123" s="5">
        <v>5.13</v>
      </c>
      <c r="B1123" s="5">
        <f>I1020</f>
        <v>9</v>
      </c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</row>
    <row r="1124" spans="1:17" x14ac:dyDescent="0.25">
      <c r="A1124" s="5"/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  <c r="O1124" s="5"/>
      <c r="P1124" s="5"/>
      <c r="Q1124" s="5"/>
    </row>
    <row r="1125" spans="1:17" x14ac:dyDescent="0.25">
      <c r="A1125" s="5"/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</row>
    <row r="1126" spans="1:17" x14ac:dyDescent="0.25">
      <c r="A1126" s="5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</row>
    <row r="1127" spans="1:17" x14ac:dyDescent="0.25">
      <c r="A1127" s="5"/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</row>
    <row r="1128" spans="1:17" x14ac:dyDescent="0.25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  <c r="O1128" s="5"/>
      <c r="P1128" s="5"/>
      <c r="Q1128" s="5"/>
    </row>
    <row r="1129" spans="1:17" x14ac:dyDescent="0.25">
      <c r="A1129" s="5"/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</row>
    <row r="1130" spans="1:17" x14ac:dyDescent="0.25">
      <c r="A1130" s="5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</row>
    <row r="1131" spans="1:17" x14ac:dyDescent="0.25">
      <c r="A1131" s="5"/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</row>
    <row r="1132" spans="1:17" x14ac:dyDescent="0.25">
      <c r="A1132" s="5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  <c r="O1132" s="5"/>
      <c r="P1132" s="5"/>
      <c r="Q1132" s="5"/>
    </row>
    <row r="1133" spans="1:17" x14ac:dyDescent="0.25">
      <c r="A1133" s="5"/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</row>
    <row r="1134" spans="1:17" x14ac:dyDescent="0.25">
      <c r="A1134" s="5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</row>
    <row r="1135" spans="1:17" x14ac:dyDescent="0.25">
      <c r="A1135" s="5"/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</row>
    <row r="1136" spans="1:17" x14ac:dyDescent="0.25">
      <c r="A1136" s="5"/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  <c r="O1136" s="5"/>
      <c r="P1136" s="5"/>
      <c r="Q1136" s="5"/>
    </row>
    <row r="1137" spans="1:17" x14ac:dyDescent="0.25">
      <c r="A1137" s="5"/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</row>
    <row r="1138" spans="1:17" x14ac:dyDescent="0.25">
      <c r="A1138" s="5"/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</row>
    <row r="1139" spans="1:17" x14ac:dyDescent="0.25">
      <c r="A1139" s="5"/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</row>
    <row r="1140" spans="1:17" x14ac:dyDescent="0.25">
      <c r="A1140" s="5"/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  <c r="O1140" s="5"/>
      <c r="P1140" s="5"/>
      <c r="Q1140" s="5"/>
    </row>
    <row r="1141" spans="1:17" x14ac:dyDescent="0.25">
      <c r="A1141" s="5"/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</row>
    <row r="1142" spans="1:17" x14ac:dyDescent="0.25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</row>
    <row r="1143" spans="1:17" x14ac:dyDescent="0.25">
      <c r="A1143" s="5"/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</row>
    <row r="1144" spans="1:17" x14ac:dyDescent="0.25">
      <c r="A1144" s="5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  <c r="O1144" s="5"/>
      <c r="P1144" s="5"/>
      <c r="Q1144" s="5"/>
    </row>
    <row r="1145" spans="1:17" x14ac:dyDescent="0.25">
      <c r="A1145" s="5"/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</row>
    <row r="1146" spans="1:17" x14ac:dyDescent="0.25">
      <c r="A1146" s="5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</row>
    <row r="1147" spans="1:17" x14ac:dyDescent="0.25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</row>
    <row r="1148" spans="1:17" x14ac:dyDescent="0.25">
      <c r="A1148" s="5"/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  <c r="O1148" s="5"/>
      <c r="P1148" s="5"/>
      <c r="Q1148" s="5"/>
    </row>
    <row r="1149" spans="1:17" x14ac:dyDescent="0.25">
      <c r="A1149" s="5"/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  <c r="O1149" s="5"/>
      <c r="P1149" s="5"/>
      <c r="Q1149" s="5"/>
    </row>
    <row r="1150" spans="1:17" x14ac:dyDescent="0.25">
      <c r="A1150" s="5"/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</row>
    <row r="1151" spans="1:17" x14ac:dyDescent="0.25">
      <c r="A1151" s="5"/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</row>
    <row r="1152" spans="1:17" x14ac:dyDescent="0.25">
      <c r="A1152" s="5"/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  <c r="O1152" s="5"/>
      <c r="P1152" s="5"/>
      <c r="Q1152" s="5"/>
    </row>
    <row r="1153" spans="1:17" x14ac:dyDescent="0.25">
      <c r="A1153" s="5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  <c r="O1153" s="5"/>
      <c r="P1153" s="5"/>
      <c r="Q1153" s="5"/>
    </row>
    <row r="1154" spans="1:17" x14ac:dyDescent="0.25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</row>
    <row r="1155" spans="1:17" x14ac:dyDescent="0.25">
      <c r="A1155" s="5"/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  <c r="O1155" s="5"/>
      <c r="P1155" s="5"/>
      <c r="Q1155" s="5"/>
    </row>
    <row r="1156" spans="1:17" x14ac:dyDescent="0.25">
      <c r="A1156" s="5"/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  <c r="O1156" s="5"/>
      <c r="P1156" s="5"/>
      <c r="Q1156" s="5"/>
    </row>
    <row r="1157" spans="1:17" x14ac:dyDescent="0.25">
      <c r="A1157" s="5"/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  <c r="O1157" s="5"/>
      <c r="P1157" s="5"/>
      <c r="Q1157" s="5"/>
    </row>
    <row r="1158" spans="1:17" x14ac:dyDescent="0.25">
      <c r="A1158" s="5"/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</row>
    <row r="1159" spans="1:17" x14ac:dyDescent="0.25">
      <c r="A1159" s="5"/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  <c r="O1159" s="5"/>
      <c r="P1159" s="5"/>
      <c r="Q1159" s="5"/>
    </row>
    <row r="1160" spans="1:17" x14ac:dyDescent="0.25">
      <c r="A1160" s="6" t="s">
        <v>7</v>
      </c>
      <c r="B1160" s="6"/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5"/>
    </row>
    <row r="1161" spans="1:17" x14ac:dyDescent="0.25">
      <c r="A1161" s="5"/>
      <c r="B1161" s="5"/>
      <c r="C1161" s="5"/>
      <c r="D1161" s="5"/>
      <c r="E1161" s="5">
        <v>1</v>
      </c>
      <c r="F1161" s="5">
        <v>2</v>
      </c>
      <c r="G1161" s="5">
        <v>3</v>
      </c>
      <c r="H1161" s="5">
        <v>4</v>
      </c>
      <c r="I1161" s="5">
        <v>5</v>
      </c>
      <c r="J1161" s="5"/>
      <c r="K1161" s="5" t="s">
        <v>35</v>
      </c>
      <c r="L1161" s="5" t="s">
        <v>36</v>
      </c>
      <c r="M1161" s="5"/>
      <c r="N1161" s="5"/>
      <c r="O1161" s="5" t="s">
        <v>37</v>
      </c>
      <c r="P1161" s="5" t="s">
        <v>38</v>
      </c>
      <c r="Q1161" s="5"/>
    </row>
    <row r="1162" spans="1:17" x14ac:dyDescent="0.25">
      <c r="A1162" s="5" t="s">
        <v>39</v>
      </c>
      <c r="B1162" s="7">
        <f>COUNT(Данные!$H$2:$H$75)</f>
        <v>74</v>
      </c>
      <c r="C1162" s="5"/>
      <c r="D1162" s="5"/>
      <c r="E1162" s="5">
        <f>Данные!H2</f>
        <v>2</v>
      </c>
      <c r="F1162" s="5">
        <f>Данные!H3</f>
        <v>8</v>
      </c>
      <c r="G1162" s="5">
        <f>Данные!H22</f>
        <v>11</v>
      </c>
      <c r="H1162" s="5">
        <f>Данные!H21</f>
        <v>4</v>
      </c>
      <c r="I1162" s="5">
        <f>Данные!H61</f>
        <v>2</v>
      </c>
      <c r="J1162" s="5"/>
      <c r="K1162" s="5">
        <f>_xlfn.RANK.AVG(Данные!B2,Данные!$B$2:$B$75,1)</f>
        <v>4</v>
      </c>
      <c r="L1162" s="5">
        <f>_xlfn.RANK.AVG(Данные!H2,Данные!$H$2:$H$75,1)</f>
        <v>9</v>
      </c>
      <c r="M1162" s="5"/>
      <c r="N1162" s="5"/>
      <c r="O1162" s="5">
        <f>Данные!B2+(-0.105)</f>
        <v>0.89500000000000002</v>
      </c>
      <c r="P1162" s="5">
        <f>Данные!H2</f>
        <v>2</v>
      </c>
      <c r="Q1162" s="5"/>
    </row>
    <row r="1163" spans="1:17" x14ac:dyDescent="0.25">
      <c r="A1163" s="5" t="s">
        <v>40</v>
      </c>
      <c r="B1163" s="8">
        <f>CORREL(K1162:K1235,L1162:L1235)</f>
        <v>8.6139888011793675E-2</v>
      </c>
      <c r="C1163" s="5"/>
      <c r="D1163" s="5"/>
      <c r="E1163" s="5">
        <f>Данные!H6</f>
        <v>3</v>
      </c>
      <c r="F1163" s="5">
        <f>Данные!H4</f>
        <v>6</v>
      </c>
      <c r="G1163" s="5">
        <f>Данные!H23</f>
        <v>7</v>
      </c>
      <c r="H1163" s="5">
        <f>Данные!H31</f>
        <v>3</v>
      </c>
      <c r="I1163" s="5">
        <f>Данные!H67</f>
        <v>5</v>
      </c>
      <c r="J1163" s="5"/>
      <c r="K1163" s="5">
        <f>_xlfn.RANK.AVG(Данные!B3,Данные!$B$2:$B$75,1)</f>
        <v>13.5</v>
      </c>
      <c r="L1163" s="5">
        <f>_xlfn.RANK.AVG(Данные!H3,Данные!$H$2:$H$75,1)</f>
        <v>68.5</v>
      </c>
      <c r="M1163" s="5"/>
      <c r="N1163" s="5"/>
      <c r="O1163" s="5">
        <f>Данные!B3+(-0.105)</f>
        <v>1.895</v>
      </c>
      <c r="P1163" s="5">
        <f>Данные!H3</f>
        <v>8</v>
      </c>
      <c r="Q1163" s="5"/>
    </row>
    <row r="1164" spans="1:17" x14ac:dyDescent="0.25">
      <c r="A1164" s="5" t="s">
        <v>41</v>
      </c>
      <c r="B1164" s="8">
        <f>TDIST(ABS(B1163*SQRT((B1162-2)/(1-B1163^2))),B1162-2,2)</f>
        <v>0.46554547967143678</v>
      </c>
      <c r="C1164" s="5"/>
      <c r="D1164" s="5"/>
      <c r="E1164" s="5">
        <f>Данные!H7</f>
        <v>5</v>
      </c>
      <c r="F1164" s="5">
        <f>Данные!H5</f>
        <v>4</v>
      </c>
      <c r="G1164" s="5">
        <f>Данные!H24</f>
        <v>7</v>
      </c>
      <c r="H1164" s="5">
        <f>Данные!H36</f>
        <v>6</v>
      </c>
      <c r="I1164" s="5">
        <f>Данные!H68</f>
        <v>8</v>
      </c>
      <c r="J1164" s="5"/>
      <c r="K1164" s="5">
        <f>_xlfn.RANK.AVG(Данные!B4,Данные!$B$2:$B$75,1)</f>
        <v>13.5</v>
      </c>
      <c r="L1164" s="5">
        <f>_xlfn.RANK.AVG(Данные!H4,Данные!$H$2:$H$75,1)</f>
        <v>53.5</v>
      </c>
      <c r="M1164" s="5"/>
      <c r="N1164" s="5"/>
      <c r="O1164" s="5">
        <f>Данные!B4+(-0.105)</f>
        <v>1.895</v>
      </c>
      <c r="P1164" s="5">
        <f>Данные!H4</f>
        <v>6</v>
      </c>
      <c r="Q1164" s="5"/>
    </row>
    <row r="1165" spans="1:17" x14ac:dyDescent="0.25">
      <c r="A1165" s="5" t="s">
        <v>42</v>
      </c>
      <c r="B1165" s="8"/>
      <c r="C1165" s="5"/>
      <c r="D1165" s="5"/>
      <c r="E1165" s="5">
        <f>Данные!H8</f>
        <v>3</v>
      </c>
      <c r="F1165" s="5">
        <f>Данные!H9</f>
        <v>4</v>
      </c>
      <c r="G1165" s="5">
        <f>Данные!H25</f>
        <v>6</v>
      </c>
      <c r="H1165" s="5">
        <f>Данные!H39</f>
        <v>3</v>
      </c>
      <c r="I1165" s="5">
        <f>Данные!H71</f>
        <v>6</v>
      </c>
      <c r="J1165" s="5"/>
      <c r="K1165" s="5">
        <f>_xlfn.RANK.AVG(Данные!B5,Данные!$B$2:$B$75,1)</f>
        <v>13.5</v>
      </c>
      <c r="L1165" s="5">
        <f>_xlfn.RANK.AVG(Данные!H5,Данные!$H$2:$H$75,1)</f>
        <v>26.5</v>
      </c>
      <c r="M1165" s="5"/>
      <c r="N1165" s="5"/>
      <c r="O1165" s="5">
        <f>Данные!B5+(-0.105)</f>
        <v>1.895</v>
      </c>
      <c r="P1165" s="5">
        <f>Данные!H5</f>
        <v>4</v>
      </c>
      <c r="Q1165" s="5"/>
    </row>
    <row r="1166" spans="1:17" x14ac:dyDescent="0.25">
      <c r="A1166" s="5" t="s">
        <v>43</v>
      </c>
      <c r="B1166" s="8"/>
      <c r="C1166" s="5"/>
      <c r="D1166" s="5"/>
      <c r="E1166" s="5">
        <f>Данные!H11</f>
        <v>1</v>
      </c>
      <c r="F1166" s="5">
        <f>Данные!H10</f>
        <v>7</v>
      </c>
      <c r="G1166" s="5">
        <f>Данные!H26</f>
        <v>4</v>
      </c>
      <c r="H1166" s="5">
        <f>Данные!H41</f>
        <v>2</v>
      </c>
      <c r="I1166" s="5">
        <f>Данные!H72</f>
        <v>4</v>
      </c>
      <c r="J1166" s="5"/>
      <c r="K1166" s="5">
        <f>_xlfn.RANK.AVG(Данные!B6,Данные!$B$2:$B$75,1)</f>
        <v>4</v>
      </c>
      <c r="L1166" s="5">
        <f>_xlfn.RANK.AVG(Данные!H6,Данные!$H$2:$H$75,1)</f>
        <v>16.5</v>
      </c>
      <c r="M1166" s="5"/>
      <c r="N1166" s="5"/>
      <c r="O1166" s="5">
        <f>Данные!B6+(-0.105)</f>
        <v>0.89500000000000002</v>
      </c>
      <c r="P1166" s="5">
        <f>Данные!H6</f>
        <v>3</v>
      </c>
      <c r="Q1166" s="5"/>
    </row>
    <row r="1167" spans="1:17" x14ac:dyDescent="0.25">
      <c r="A1167" s="5" t="s">
        <v>44</v>
      </c>
      <c r="B1167" s="8"/>
      <c r="C1167" s="5"/>
      <c r="D1167" s="5"/>
      <c r="E1167" s="5">
        <f>Данные!H13</f>
        <v>6</v>
      </c>
      <c r="F1167" s="5">
        <f>Данные!H12</f>
        <v>2</v>
      </c>
      <c r="G1167" s="5">
        <f>Данные!H27</f>
        <v>6</v>
      </c>
      <c r="H1167" s="5">
        <f>Данные!H43</f>
        <v>4</v>
      </c>
      <c r="I1167" s="5">
        <f>Данные!H73</f>
        <v>3</v>
      </c>
      <c r="J1167" s="5"/>
      <c r="K1167" s="5">
        <f>_xlfn.RANK.AVG(Данные!B7,Данные!$B$2:$B$75,1)</f>
        <v>4</v>
      </c>
      <c r="L1167" s="5">
        <f>_xlfn.RANK.AVG(Данные!H7,Данные!$H$2:$H$75,1)</f>
        <v>40</v>
      </c>
      <c r="M1167" s="5"/>
      <c r="N1167" s="5"/>
      <c r="O1167" s="5">
        <f>Данные!B7+(-0.105)</f>
        <v>0.89500000000000002</v>
      </c>
      <c r="P1167" s="5">
        <f>Данные!H7</f>
        <v>5</v>
      </c>
      <c r="Q1167" s="5"/>
    </row>
    <row r="1168" spans="1:17" x14ac:dyDescent="0.25">
      <c r="A1168" s="5" t="s">
        <v>45</v>
      </c>
      <c r="B1168" s="8"/>
      <c r="C1168" s="5"/>
      <c r="D1168" s="5"/>
      <c r="E1168" s="5">
        <f>Данные!H14</f>
        <v>3</v>
      </c>
      <c r="F1168" s="5">
        <f>Данные!H15</f>
        <v>6</v>
      </c>
      <c r="G1168" s="5">
        <f>Данные!H28</f>
        <v>7</v>
      </c>
      <c r="H1168" s="5">
        <f>Данные!H46</f>
        <v>2</v>
      </c>
      <c r="I1168" s="5"/>
      <c r="J1168" s="5"/>
      <c r="K1168" s="5">
        <f>_xlfn.RANK.AVG(Данные!B8,Данные!$B$2:$B$75,1)</f>
        <v>4</v>
      </c>
      <c r="L1168" s="5">
        <f>_xlfn.RANK.AVG(Данные!H8,Данные!$H$2:$H$75,1)</f>
        <v>16.5</v>
      </c>
      <c r="M1168" s="5"/>
      <c r="N1168" s="5"/>
      <c r="O1168" s="5">
        <f>Данные!B8+(-0.07)</f>
        <v>0.92999999999999994</v>
      </c>
      <c r="P1168" s="5">
        <f>Данные!H8</f>
        <v>3</v>
      </c>
      <c r="Q1168" s="5"/>
    </row>
    <row r="1169" spans="1:17" x14ac:dyDescent="0.25">
      <c r="A1169" s="5" t="s">
        <v>46</v>
      </c>
      <c r="B1169" s="8"/>
      <c r="C1169" s="5"/>
      <c r="D1169" s="5"/>
      <c r="E1169" s="5"/>
      <c r="F1169" s="5">
        <f>Данные!H16</f>
        <v>1</v>
      </c>
      <c r="G1169" s="5">
        <f>Данные!H29</f>
        <v>5</v>
      </c>
      <c r="H1169" s="5">
        <f>Данные!H48</f>
        <v>5</v>
      </c>
      <c r="I1169" s="5"/>
      <c r="J1169" s="5"/>
      <c r="K1169" s="5">
        <f>_xlfn.RANK.AVG(Данные!B9,Данные!$B$2:$B$75,1)</f>
        <v>13.5</v>
      </c>
      <c r="L1169" s="5">
        <f>_xlfn.RANK.AVG(Данные!H9,Данные!$H$2:$H$75,1)</f>
        <v>26.5</v>
      </c>
      <c r="M1169" s="5"/>
      <c r="N1169" s="5"/>
      <c r="O1169" s="5">
        <f>Данные!B9+(-0.07)</f>
        <v>1.93</v>
      </c>
      <c r="P1169" s="5">
        <f>Данные!H9</f>
        <v>4</v>
      </c>
      <c r="Q1169" s="5"/>
    </row>
    <row r="1170" spans="1:17" x14ac:dyDescent="0.25">
      <c r="A1170" s="5" t="s">
        <v>47</v>
      </c>
      <c r="B1170" s="8"/>
      <c r="C1170" s="5"/>
      <c r="D1170" s="5"/>
      <c r="E1170" s="5"/>
      <c r="F1170" s="5">
        <f>Данные!H17</f>
        <v>0</v>
      </c>
      <c r="G1170" s="5">
        <f>Данные!H30</f>
        <v>7</v>
      </c>
      <c r="H1170" s="5">
        <f>Данные!H53</f>
        <v>3</v>
      </c>
      <c r="I1170" s="5"/>
      <c r="J1170" s="5"/>
      <c r="K1170" s="5">
        <f>_xlfn.RANK.AVG(Данные!B10,Данные!$B$2:$B$75,1)</f>
        <v>13.5</v>
      </c>
      <c r="L1170" s="5">
        <f>_xlfn.RANK.AVG(Данные!H10,Данные!$H$2:$H$75,1)</f>
        <v>63.5</v>
      </c>
      <c r="M1170" s="5"/>
      <c r="N1170" s="5"/>
      <c r="O1170" s="5">
        <f>Данные!B10+(-0.105)</f>
        <v>1.895</v>
      </c>
      <c r="P1170" s="5">
        <f>Данные!H10</f>
        <v>7</v>
      </c>
      <c r="Q1170" s="5"/>
    </row>
    <row r="1171" spans="1:17" x14ac:dyDescent="0.25">
      <c r="A1171" s="5" t="s">
        <v>48</v>
      </c>
      <c r="B1171" s="8"/>
      <c r="C1171" s="5"/>
      <c r="D1171" s="5"/>
      <c r="E1171" s="5"/>
      <c r="F1171" s="5">
        <f>Данные!H18</f>
        <v>2</v>
      </c>
      <c r="G1171" s="5">
        <f>Данные!H32</f>
        <v>4</v>
      </c>
      <c r="H1171" s="5">
        <f>Данные!H55</f>
        <v>4</v>
      </c>
      <c r="I1171" s="5"/>
      <c r="J1171" s="5"/>
      <c r="K1171" s="5">
        <f>_xlfn.RANK.AVG(Данные!B11,Данные!$B$2:$B$75,1)</f>
        <v>4</v>
      </c>
      <c r="L1171" s="5">
        <f>_xlfn.RANK.AVG(Данные!H11,Данные!$H$2:$H$75,1)</f>
        <v>4</v>
      </c>
      <c r="M1171" s="5"/>
      <c r="N1171" s="5"/>
      <c r="O1171" s="5">
        <f>Данные!B11+(-0.105)</f>
        <v>0.89500000000000002</v>
      </c>
      <c r="P1171" s="5">
        <f>Данные!H11</f>
        <v>1</v>
      </c>
      <c r="Q1171" s="5"/>
    </row>
    <row r="1172" spans="1:17" x14ac:dyDescent="0.25">
      <c r="A1172" s="5" t="s">
        <v>49</v>
      </c>
      <c r="B1172" s="8"/>
      <c r="C1172" s="5"/>
      <c r="D1172" s="5"/>
      <c r="E1172" s="5"/>
      <c r="F1172" s="5">
        <f>Данные!H19</f>
        <v>5</v>
      </c>
      <c r="G1172" s="5">
        <f>Данные!H33</f>
        <v>4</v>
      </c>
      <c r="H1172" s="5">
        <f>Данные!H56</f>
        <v>4</v>
      </c>
      <c r="I1172" s="5"/>
      <c r="J1172" s="5"/>
      <c r="K1172" s="5">
        <f>_xlfn.RANK.AVG(Данные!B12,Данные!$B$2:$B$75,1)</f>
        <v>13.5</v>
      </c>
      <c r="L1172" s="5">
        <f>_xlfn.RANK.AVG(Данные!H12,Данные!$H$2:$H$75,1)</f>
        <v>9</v>
      </c>
      <c r="M1172" s="5"/>
      <c r="N1172" s="5"/>
      <c r="O1172" s="5">
        <f>Данные!B12+(-0.105)</f>
        <v>1.895</v>
      </c>
      <c r="P1172" s="5">
        <f>Данные!H12</f>
        <v>2</v>
      </c>
      <c r="Q1172" s="5"/>
    </row>
    <row r="1173" spans="1:17" x14ac:dyDescent="0.25">
      <c r="A1173" s="5" t="s">
        <v>50</v>
      </c>
      <c r="B1173" s="8"/>
      <c r="C1173" s="5"/>
      <c r="D1173" s="5"/>
      <c r="E1173" s="5"/>
      <c r="F1173" s="5">
        <f>Данные!H20</f>
        <v>1</v>
      </c>
      <c r="G1173" s="5">
        <f>Данные!H34</f>
        <v>5</v>
      </c>
      <c r="H1173" s="5">
        <f>Данные!H57</f>
        <v>5</v>
      </c>
      <c r="I1173" s="5"/>
      <c r="J1173" s="5"/>
      <c r="K1173" s="5">
        <f>_xlfn.RANK.AVG(Данные!B13,Данные!$B$2:$B$75,1)</f>
        <v>4</v>
      </c>
      <c r="L1173" s="5">
        <f>_xlfn.RANK.AVG(Данные!H13,Данные!$H$2:$H$75,1)</f>
        <v>53.5</v>
      </c>
      <c r="M1173" s="5"/>
      <c r="N1173" s="5"/>
      <c r="O1173" s="5">
        <f>Данные!B13+(-0.105)</f>
        <v>0.89500000000000002</v>
      </c>
      <c r="P1173" s="5">
        <f>Данные!H13</f>
        <v>6</v>
      </c>
      <c r="Q1173" s="5"/>
    </row>
    <row r="1174" spans="1:17" x14ac:dyDescent="0.25">
      <c r="A1174" s="5"/>
      <c r="B1174" s="5"/>
      <c r="C1174" s="5"/>
      <c r="D1174" s="5"/>
      <c r="E1174" s="5"/>
      <c r="F1174" s="5"/>
      <c r="G1174" s="5">
        <f>Данные!H35</f>
        <v>6</v>
      </c>
      <c r="H1174" s="5">
        <f>Данные!H58</f>
        <v>0</v>
      </c>
      <c r="I1174" s="5"/>
      <c r="J1174" s="5"/>
      <c r="K1174" s="5">
        <f>_xlfn.RANK.AVG(Данные!B14,Данные!$B$2:$B$75,1)</f>
        <v>4</v>
      </c>
      <c r="L1174" s="5">
        <f>_xlfn.RANK.AVG(Данные!H14,Данные!$H$2:$H$75,1)</f>
        <v>16.5</v>
      </c>
      <c r="M1174" s="5"/>
      <c r="N1174" s="5"/>
      <c r="O1174" s="5">
        <f>Данные!B14+(-0.035)</f>
        <v>0.96499999999999997</v>
      </c>
      <c r="P1174" s="5">
        <f>Данные!H14</f>
        <v>3</v>
      </c>
      <c r="Q1174" s="5"/>
    </row>
    <row r="1175" spans="1:17" x14ac:dyDescent="0.25">
      <c r="A1175" s="5"/>
      <c r="B1175" s="5"/>
      <c r="C1175" s="5"/>
      <c r="D1175" s="5"/>
      <c r="E1175" s="5"/>
      <c r="F1175" s="5"/>
      <c r="G1175" s="5">
        <f>Данные!H37</f>
        <v>6</v>
      </c>
      <c r="H1175" s="5">
        <f>Данные!H59</f>
        <v>2</v>
      </c>
      <c r="I1175" s="5"/>
      <c r="J1175" s="5"/>
      <c r="K1175" s="5">
        <f>_xlfn.RANK.AVG(Данные!B15,Данные!$B$2:$B$75,1)</f>
        <v>13.5</v>
      </c>
      <c r="L1175" s="5">
        <f>_xlfn.RANK.AVG(Данные!H15,Данные!$H$2:$H$75,1)</f>
        <v>53.5</v>
      </c>
      <c r="M1175" s="5"/>
      <c r="N1175" s="5"/>
      <c r="O1175" s="5">
        <f>Данные!B15+(-0.07)</f>
        <v>1.93</v>
      </c>
      <c r="P1175" s="5">
        <f>Данные!H15</f>
        <v>6</v>
      </c>
      <c r="Q1175" s="5"/>
    </row>
    <row r="1176" spans="1:17" x14ac:dyDescent="0.25">
      <c r="A1176" s="5"/>
      <c r="B1176" s="5"/>
      <c r="C1176" s="5"/>
      <c r="D1176" s="5"/>
      <c r="E1176" s="5"/>
      <c r="F1176" s="5"/>
      <c r="G1176" s="5">
        <f>Данные!H38</f>
        <v>4</v>
      </c>
      <c r="H1176" s="5">
        <f>Данные!H60</f>
        <v>10</v>
      </c>
      <c r="I1176" s="5"/>
      <c r="J1176" s="5"/>
      <c r="K1176" s="5">
        <f>_xlfn.RANK.AVG(Данные!B16,Данные!$B$2:$B$75,1)</f>
        <v>13.5</v>
      </c>
      <c r="L1176" s="5">
        <f>_xlfn.RANK.AVG(Данные!H16,Данные!$H$2:$H$75,1)</f>
        <v>4</v>
      </c>
      <c r="M1176" s="5"/>
      <c r="N1176" s="5"/>
      <c r="O1176" s="5">
        <f>Данные!B16+(-0.105)</f>
        <v>1.895</v>
      </c>
      <c r="P1176" s="5">
        <f>Данные!H16</f>
        <v>1</v>
      </c>
      <c r="Q1176" s="5"/>
    </row>
    <row r="1177" spans="1:17" x14ac:dyDescent="0.25">
      <c r="A1177" s="5"/>
      <c r="B1177" s="5"/>
      <c r="C1177" s="5"/>
      <c r="D1177" s="5"/>
      <c r="E1177" s="5"/>
      <c r="F1177" s="5"/>
      <c r="G1177" s="5">
        <f>Данные!H40</f>
        <v>6</v>
      </c>
      <c r="H1177" s="5">
        <f>Данные!H62</f>
        <v>6</v>
      </c>
      <c r="I1177" s="5"/>
      <c r="J1177" s="5"/>
      <c r="K1177" s="5">
        <f>_xlfn.RANK.AVG(Данные!B17,Данные!$B$2:$B$75,1)</f>
        <v>13.5</v>
      </c>
      <c r="L1177" s="5">
        <f>_xlfn.RANK.AVG(Данные!H17,Данные!$H$2:$H$75,1)</f>
        <v>1.5</v>
      </c>
      <c r="M1177" s="5"/>
      <c r="N1177" s="5"/>
      <c r="O1177" s="5">
        <f>Данные!B17+(-0.105)</f>
        <v>1.895</v>
      </c>
      <c r="P1177" s="5">
        <f>Данные!H17</f>
        <v>0</v>
      </c>
      <c r="Q1177" s="5"/>
    </row>
    <row r="1178" spans="1:17" x14ac:dyDescent="0.25">
      <c r="A1178" s="5"/>
      <c r="B1178" s="5"/>
      <c r="C1178" s="5"/>
      <c r="D1178" s="5"/>
      <c r="E1178" s="5"/>
      <c r="F1178" s="5"/>
      <c r="G1178" s="5">
        <f>Данные!H42</f>
        <v>5</v>
      </c>
      <c r="H1178" s="5">
        <f>Данные!H63</f>
        <v>7</v>
      </c>
      <c r="I1178" s="5"/>
      <c r="J1178" s="5"/>
      <c r="K1178" s="5">
        <f>_xlfn.RANK.AVG(Данные!B18,Данные!$B$2:$B$75,1)</f>
        <v>13.5</v>
      </c>
      <c r="L1178" s="5">
        <f>_xlfn.RANK.AVG(Данные!H18,Данные!$H$2:$H$75,1)</f>
        <v>9</v>
      </c>
      <c r="M1178" s="5"/>
      <c r="N1178" s="5"/>
      <c r="O1178" s="5">
        <f>Данные!B18+(-0.07)</f>
        <v>1.93</v>
      </c>
      <c r="P1178" s="5">
        <f>Данные!H18</f>
        <v>2</v>
      </c>
      <c r="Q1178" s="5"/>
    </row>
    <row r="1179" spans="1:17" x14ac:dyDescent="0.25">
      <c r="A1179" s="5"/>
      <c r="B1179" s="5"/>
      <c r="C1179" s="5"/>
      <c r="D1179" s="5"/>
      <c r="E1179" s="5"/>
      <c r="F1179" s="5"/>
      <c r="G1179" s="5">
        <f>Данные!H44</f>
        <v>5</v>
      </c>
      <c r="H1179" s="5">
        <f>Данные!H64</f>
        <v>5</v>
      </c>
      <c r="I1179" s="5"/>
      <c r="J1179" s="5"/>
      <c r="K1179" s="5">
        <f>_xlfn.RANK.AVG(Данные!B19,Данные!$B$2:$B$75,1)</f>
        <v>13.5</v>
      </c>
      <c r="L1179" s="5">
        <f>_xlfn.RANK.AVG(Данные!H19,Данные!$H$2:$H$75,1)</f>
        <v>40</v>
      </c>
      <c r="M1179" s="5"/>
      <c r="N1179" s="5"/>
      <c r="O1179" s="5">
        <f>Данные!B19+(-0.105)</f>
        <v>1.895</v>
      </c>
      <c r="P1179" s="5">
        <f>Данные!H19</f>
        <v>5</v>
      </c>
      <c r="Q1179" s="5"/>
    </row>
    <row r="1180" spans="1:17" x14ac:dyDescent="0.25">
      <c r="A1180" s="5"/>
      <c r="B1180" s="5"/>
      <c r="C1180" s="5"/>
      <c r="D1180" s="5"/>
      <c r="E1180" s="5"/>
      <c r="F1180" s="5"/>
      <c r="G1180" s="5">
        <f>Данные!H45</f>
        <v>5</v>
      </c>
      <c r="H1180" s="5">
        <f>Данные!H65</f>
        <v>3</v>
      </c>
      <c r="I1180" s="5"/>
      <c r="J1180" s="5"/>
      <c r="K1180" s="5">
        <f>_xlfn.RANK.AVG(Данные!B20,Данные!$B$2:$B$75,1)</f>
        <v>13.5</v>
      </c>
      <c r="L1180" s="5">
        <f>_xlfn.RANK.AVG(Данные!H20,Данные!$H$2:$H$75,1)</f>
        <v>4</v>
      </c>
      <c r="M1180" s="5"/>
      <c r="N1180" s="5"/>
      <c r="O1180" s="5">
        <f>Данные!B20+(-0.07)</f>
        <v>1.93</v>
      </c>
      <c r="P1180" s="5">
        <f>Данные!H20</f>
        <v>1</v>
      </c>
      <c r="Q1180" s="5"/>
    </row>
    <row r="1181" spans="1:17" x14ac:dyDescent="0.25">
      <c r="A1181" s="5"/>
      <c r="B1181" s="5"/>
      <c r="C1181" s="5"/>
      <c r="D1181" s="5"/>
      <c r="E1181" s="5"/>
      <c r="F1181" s="5"/>
      <c r="G1181" s="5">
        <f>Данные!H47</f>
        <v>4</v>
      </c>
      <c r="H1181" s="5">
        <f>Данные!H66</f>
        <v>7</v>
      </c>
      <c r="I1181" s="5"/>
      <c r="J1181" s="5"/>
      <c r="K1181" s="5">
        <f>_xlfn.RANK.AVG(Данные!B21,Данные!$B$2:$B$75,1)</f>
        <v>56.5</v>
      </c>
      <c r="L1181" s="5">
        <f>_xlfn.RANK.AVG(Данные!H21,Данные!$H$2:$H$75,1)</f>
        <v>26.5</v>
      </c>
      <c r="M1181" s="5"/>
      <c r="N1181" s="5"/>
      <c r="O1181" s="5">
        <f>Данные!B21+(-0.105)</f>
        <v>3.895</v>
      </c>
      <c r="P1181" s="5">
        <f>Данные!H21</f>
        <v>4</v>
      </c>
      <c r="Q1181" s="5"/>
    </row>
    <row r="1182" spans="1:17" x14ac:dyDescent="0.25">
      <c r="A1182" s="5"/>
      <c r="B1182" s="5"/>
      <c r="C1182" s="5"/>
      <c r="D1182" s="5"/>
      <c r="E1182" s="5"/>
      <c r="F1182" s="5"/>
      <c r="G1182" s="5">
        <f>Данные!H49</f>
        <v>6</v>
      </c>
      <c r="H1182" s="5">
        <f>Данные!H69</f>
        <v>5</v>
      </c>
      <c r="I1182" s="5"/>
      <c r="J1182" s="5"/>
      <c r="K1182" s="5">
        <f>_xlfn.RANK.AVG(Данные!B22,Данные!$B$2:$B$75,1)</f>
        <v>32</v>
      </c>
      <c r="L1182" s="5">
        <f>_xlfn.RANK.AVG(Данные!H22,Данные!$H$2:$H$75,1)</f>
        <v>73.5</v>
      </c>
      <c r="M1182" s="5"/>
      <c r="N1182" s="5"/>
      <c r="O1182" s="5">
        <f>Данные!B22+(-0.105)</f>
        <v>2.895</v>
      </c>
      <c r="P1182" s="5">
        <f>Данные!H22</f>
        <v>11</v>
      </c>
      <c r="Q1182" s="5"/>
    </row>
    <row r="1183" spans="1:17" x14ac:dyDescent="0.25">
      <c r="A1183" s="5"/>
      <c r="B1183" s="5"/>
      <c r="C1183" s="5"/>
      <c r="D1183" s="5"/>
      <c r="E1183" s="5"/>
      <c r="F1183" s="5"/>
      <c r="G1183" s="5">
        <f>Данные!H50</f>
        <v>11</v>
      </c>
      <c r="H1183" s="5">
        <f>Данные!H70</f>
        <v>7</v>
      </c>
      <c r="I1183" s="5"/>
      <c r="J1183" s="5"/>
      <c r="K1183" s="5">
        <f>_xlfn.RANK.AVG(Данные!B23,Данные!$B$2:$B$75,1)</f>
        <v>32</v>
      </c>
      <c r="L1183" s="5">
        <f>_xlfn.RANK.AVG(Данные!H23,Данные!$H$2:$H$75,1)</f>
        <v>63.5</v>
      </c>
      <c r="M1183" s="5"/>
      <c r="N1183" s="5"/>
      <c r="O1183" s="5">
        <f>Данные!B23+(-0.105)</f>
        <v>2.895</v>
      </c>
      <c r="P1183" s="5">
        <f>Данные!H23</f>
        <v>7</v>
      </c>
      <c r="Q1183" s="5"/>
    </row>
    <row r="1184" spans="1:17" x14ac:dyDescent="0.25">
      <c r="A1184" s="5"/>
      <c r="B1184" s="5"/>
      <c r="C1184" s="5"/>
      <c r="D1184" s="5"/>
      <c r="E1184" s="5"/>
      <c r="F1184" s="5"/>
      <c r="G1184" s="5">
        <f>Данные!H51</f>
        <v>5</v>
      </c>
      <c r="H1184" s="5">
        <f>Данные!H74</f>
        <v>5</v>
      </c>
      <c r="I1184" s="5"/>
      <c r="J1184" s="5"/>
      <c r="K1184" s="5">
        <f>_xlfn.RANK.AVG(Данные!B24,Данные!$B$2:$B$75,1)</f>
        <v>32</v>
      </c>
      <c r="L1184" s="5">
        <f>_xlfn.RANK.AVG(Данные!H24,Данные!$H$2:$H$75,1)</f>
        <v>63.5</v>
      </c>
      <c r="M1184" s="5"/>
      <c r="N1184" s="5"/>
      <c r="O1184" s="5">
        <f>Данные!B24+(-0.07)</f>
        <v>2.93</v>
      </c>
      <c r="P1184" s="5">
        <f>Данные!H24</f>
        <v>7</v>
      </c>
      <c r="Q1184" s="5"/>
    </row>
    <row r="1185" spans="1:17" x14ac:dyDescent="0.25">
      <c r="A1185" s="5"/>
      <c r="B1185" s="5"/>
      <c r="C1185" s="5"/>
      <c r="D1185" s="5"/>
      <c r="E1185" s="5"/>
      <c r="F1185" s="5"/>
      <c r="G1185" s="5">
        <f>Данные!H52</f>
        <v>5</v>
      </c>
      <c r="H1185" s="5">
        <f>Данные!H75</f>
        <v>9</v>
      </c>
      <c r="I1185" s="5"/>
      <c r="J1185" s="5"/>
      <c r="K1185" s="5">
        <f>_xlfn.RANK.AVG(Данные!B25,Данные!$B$2:$B$75,1)</f>
        <v>32</v>
      </c>
      <c r="L1185" s="5">
        <f>_xlfn.RANK.AVG(Данные!H25,Данные!$H$2:$H$75,1)</f>
        <v>53.5</v>
      </c>
      <c r="M1185" s="5"/>
      <c r="N1185" s="5"/>
      <c r="O1185" s="5">
        <f>Данные!B25+(-0.105)</f>
        <v>2.895</v>
      </c>
      <c r="P1185" s="5">
        <f>Данные!H25</f>
        <v>6</v>
      </c>
      <c r="Q1185" s="5"/>
    </row>
    <row r="1186" spans="1:17" x14ac:dyDescent="0.25">
      <c r="A1186" s="5"/>
      <c r="B1186" s="5"/>
      <c r="C1186" s="5"/>
      <c r="D1186" s="5"/>
      <c r="E1186" s="5"/>
      <c r="F1186" s="5"/>
      <c r="G1186" s="5">
        <f>Данные!H54</f>
        <v>9</v>
      </c>
      <c r="H1186" s="5"/>
      <c r="I1186" s="5"/>
      <c r="J1186" s="5"/>
      <c r="K1186" s="5">
        <f>_xlfn.RANK.AVG(Данные!B26,Данные!$B$2:$B$75,1)</f>
        <v>32</v>
      </c>
      <c r="L1186" s="5">
        <f>_xlfn.RANK.AVG(Данные!H26,Данные!$H$2:$H$75,1)</f>
        <v>26.5</v>
      </c>
      <c r="M1186" s="5"/>
      <c r="N1186" s="5"/>
      <c r="O1186" s="5">
        <f>Данные!B26+(-0.105)</f>
        <v>2.895</v>
      </c>
      <c r="P1186" s="5">
        <f>Данные!H26</f>
        <v>4</v>
      </c>
      <c r="Q1186" s="5"/>
    </row>
    <row r="1187" spans="1:17" x14ac:dyDescent="0.25">
      <c r="A1187" s="5"/>
      <c r="B1187" s="5"/>
      <c r="C1187" s="5"/>
      <c r="D1187" s="5"/>
      <c r="E1187" s="5"/>
      <c r="F1187" s="5"/>
      <c r="G1187" s="5"/>
      <c r="H1187" s="5"/>
      <c r="I1187" s="5"/>
      <c r="J1187" s="5"/>
      <c r="K1187" s="5">
        <f>_xlfn.RANK.AVG(Данные!B27,Данные!$B$2:$B$75,1)</f>
        <v>32</v>
      </c>
      <c r="L1187" s="5">
        <f>_xlfn.RANK.AVG(Данные!H27,Данные!$H$2:$H$75,1)</f>
        <v>53.5</v>
      </c>
      <c r="M1187" s="5"/>
      <c r="N1187" s="5"/>
      <c r="O1187" s="5">
        <f>Данные!B27+(-0.07)</f>
        <v>2.93</v>
      </c>
      <c r="P1187" s="5">
        <f>Данные!H27</f>
        <v>6</v>
      </c>
      <c r="Q1187" s="5"/>
    </row>
    <row r="1188" spans="1:17" x14ac:dyDescent="0.25">
      <c r="A1188" s="5"/>
      <c r="B1188" s="5"/>
      <c r="C1188" s="5"/>
      <c r="D1188" s="5"/>
      <c r="E1188" s="5"/>
      <c r="F1188" s="5"/>
      <c r="G1188" s="5"/>
      <c r="H1188" s="5"/>
      <c r="I1188" s="5"/>
      <c r="J1188" s="5"/>
      <c r="K1188" s="5">
        <f>_xlfn.RANK.AVG(Данные!B28,Данные!$B$2:$B$75,1)</f>
        <v>32</v>
      </c>
      <c r="L1188" s="5">
        <f>_xlfn.RANK.AVG(Данные!H28,Данные!$H$2:$H$75,1)</f>
        <v>63.5</v>
      </c>
      <c r="M1188" s="5"/>
      <c r="N1188" s="5"/>
      <c r="O1188" s="5">
        <f>Данные!B28+(-0.035)</f>
        <v>2.9649999999999999</v>
      </c>
      <c r="P1188" s="5">
        <f>Данные!H28</f>
        <v>7</v>
      </c>
      <c r="Q1188" s="5"/>
    </row>
    <row r="1189" spans="1:17" x14ac:dyDescent="0.25">
      <c r="A1189" s="5"/>
      <c r="B1189" s="5"/>
      <c r="C1189" s="5"/>
      <c r="D1189" s="5"/>
      <c r="E1189" s="5"/>
      <c r="F1189" s="5"/>
      <c r="G1189" s="5"/>
      <c r="H1189" s="5"/>
      <c r="I1189" s="5"/>
      <c r="J1189" s="5"/>
      <c r="K1189" s="5">
        <f>_xlfn.RANK.AVG(Данные!B29,Данные!$B$2:$B$75,1)</f>
        <v>32</v>
      </c>
      <c r="L1189" s="5">
        <f>_xlfn.RANK.AVG(Данные!H29,Данные!$H$2:$H$75,1)</f>
        <v>40</v>
      </c>
      <c r="M1189" s="5"/>
      <c r="N1189" s="5"/>
      <c r="O1189" s="5">
        <f>Данные!B29+(-0.105)</f>
        <v>2.895</v>
      </c>
      <c r="P1189" s="5">
        <f>Данные!H29</f>
        <v>5</v>
      </c>
      <c r="Q1189" s="5"/>
    </row>
    <row r="1190" spans="1:17" x14ac:dyDescent="0.25">
      <c r="A1190" s="5"/>
      <c r="B1190" s="5"/>
      <c r="C1190" s="5"/>
      <c r="D1190" s="5"/>
      <c r="E1190" s="5"/>
      <c r="F1190" s="5"/>
      <c r="G1190" s="5"/>
      <c r="H1190" s="5"/>
      <c r="I1190" s="5"/>
      <c r="J1190" s="5"/>
      <c r="K1190" s="5">
        <f>_xlfn.RANK.AVG(Данные!B30,Данные!$B$2:$B$75,1)</f>
        <v>32</v>
      </c>
      <c r="L1190" s="5">
        <f>_xlfn.RANK.AVG(Данные!H30,Данные!$H$2:$H$75,1)</f>
        <v>63.5</v>
      </c>
      <c r="M1190" s="5"/>
      <c r="N1190" s="5"/>
      <c r="O1190" s="5">
        <f>Данные!B30+(0)</f>
        <v>3</v>
      </c>
      <c r="P1190" s="5">
        <f>Данные!H30</f>
        <v>7</v>
      </c>
      <c r="Q1190" s="5"/>
    </row>
    <row r="1191" spans="1:17" x14ac:dyDescent="0.25">
      <c r="A1191" s="5"/>
      <c r="B1191" s="5"/>
      <c r="C1191" s="5"/>
      <c r="D1191" s="5"/>
      <c r="E1191" s="5"/>
      <c r="F1191" s="5"/>
      <c r="G1191" s="5"/>
      <c r="H1191" s="5"/>
      <c r="I1191" s="5"/>
      <c r="J1191" s="5"/>
      <c r="K1191" s="5">
        <f>_xlfn.RANK.AVG(Данные!B31,Данные!$B$2:$B$75,1)</f>
        <v>56.5</v>
      </c>
      <c r="L1191" s="5">
        <f>_xlfn.RANK.AVG(Данные!H31,Данные!$H$2:$H$75,1)</f>
        <v>16.5</v>
      </c>
      <c r="M1191" s="5"/>
      <c r="N1191" s="5"/>
      <c r="O1191" s="5">
        <f>Данные!B31+(-0.105)</f>
        <v>3.895</v>
      </c>
      <c r="P1191" s="5">
        <f>Данные!H31</f>
        <v>3</v>
      </c>
      <c r="Q1191" s="5"/>
    </row>
    <row r="1192" spans="1:17" x14ac:dyDescent="0.25">
      <c r="A1192" s="5"/>
      <c r="B1192" s="5"/>
      <c r="C1192" s="5"/>
      <c r="D1192" s="5"/>
      <c r="E1192" s="5"/>
      <c r="F1192" s="5"/>
      <c r="G1192" s="5"/>
      <c r="H1192" s="5"/>
      <c r="I1192" s="5"/>
      <c r="J1192" s="5"/>
      <c r="K1192" s="5">
        <f>_xlfn.RANK.AVG(Данные!B32,Данные!$B$2:$B$75,1)</f>
        <v>32</v>
      </c>
      <c r="L1192" s="5">
        <f>_xlfn.RANK.AVG(Данные!H32,Данные!$H$2:$H$75,1)</f>
        <v>26.5</v>
      </c>
      <c r="M1192" s="5"/>
      <c r="N1192" s="5"/>
      <c r="O1192" s="5">
        <f>Данные!B32+(-0.07)</f>
        <v>2.93</v>
      </c>
      <c r="P1192" s="5">
        <f>Данные!H32</f>
        <v>4</v>
      </c>
      <c r="Q1192" s="5"/>
    </row>
    <row r="1193" spans="1:17" x14ac:dyDescent="0.25">
      <c r="A1193" s="5"/>
      <c r="B1193" s="5"/>
      <c r="C1193" s="5"/>
      <c r="D1193" s="5"/>
      <c r="E1193" s="5"/>
      <c r="F1193" s="5"/>
      <c r="G1193" s="5"/>
      <c r="H1193" s="5"/>
      <c r="I1193" s="5"/>
      <c r="J1193" s="5"/>
      <c r="K1193" s="5">
        <f>_xlfn.RANK.AVG(Данные!B33,Данные!$B$2:$B$75,1)</f>
        <v>32</v>
      </c>
      <c r="L1193" s="5">
        <f>_xlfn.RANK.AVG(Данные!H33,Данные!$H$2:$H$75,1)</f>
        <v>26.5</v>
      </c>
      <c r="M1193" s="5"/>
      <c r="N1193" s="5"/>
      <c r="O1193" s="5">
        <f>Данные!B33+(-0.035)</f>
        <v>2.9649999999999999</v>
      </c>
      <c r="P1193" s="5">
        <f>Данные!H33</f>
        <v>4</v>
      </c>
      <c r="Q1193" s="5"/>
    </row>
    <row r="1194" spans="1:17" x14ac:dyDescent="0.25">
      <c r="A1194" s="5"/>
      <c r="B1194" s="5"/>
      <c r="C1194" s="5"/>
      <c r="D1194" s="5"/>
      <c r="E1194" s="5"/>
      <c r="F1194" s="5"/>
      <c r="G1194" s="5"/>
      <c r="H1194" s="5"/>
      <c r="I1194" s="5"/>
      <c r="J1194" s="5"/>
      <c r="K1194" s="5">
        <f>_xlfn.RANK.AVG(Данные!B34,Данные!$B$2:$B$75,1)</f>
        <v>32</v>
      </c>
      <c r="L1194" s="5">
        <f>_xlfn.RANK.AVG(Данные!H34,Данные!$H$2:$H$75,1)</f>
        <v>40</v>
      </c>
      <c r="M1194" s="5"/>
      <c r="N1194" s="5"/>
      <c r="O1194" s="5">
        <f>Данные!B34+(-0.07)</f>
        <v>2.93</v>
      </c>
      <c r="P1194" s="5">
        <f>Данные!H34</f>
        <v>5</v>
      </c>
      <c r="Q1194" s="5"/>
    </row>
    <row r="1195" spans="1:17" x14ac:dyDescent="0.25">
      <c r="A1195" s="5"/>
      <c r="B1195" s="5"/>
      <c r="C1195" s="5"/>
      <c r="D1195" s="5"/>
      <c r="E1195" s="5"/>
      <c r="F1195" s="5"/>
      <c r="G1195" s="5"/>
      <c r="H1195" s="5"/>
      <c r="I1195" s="5"/>
      <c r="J1195" s="5"/>
      <c r="K1195" s="5">
        <f>_xlfn.RANK.AVG(Данные!B35,Данные!$B$2:$B$75,1)</f>
        <v>32</v>
      </c>
      <c r="L1195" s="5">
        <f>_xlfn.RANK.AVG(Данные!H35,Данные!$H$2:$H$75,1)</f>
        <v>53.5</v>
      </c>
      <c r="M1195" s="5"/>
      <c r="N1195" s="5"/>
      <c r="O1195" s="5">
        <f>Данные!B35+(-0.035)</f>
        <v>2.9649999999999999</v>
      </c>
      <c r="P1195" s="5">
        <f>Данные!H35</f>
        <v>6</v>
      </c>
      <c r="Q1195" s="5"/>
    </row>
    <row r="1196" spans="1:17" x14ac:dyDescent="0.25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5">
        <f>_xlfn.RANK.AVG(Данные!B36,Данные!$B$2:$B$75,1)</f>
        <v>56.5</v>
      </c>
      <c r="L1196" s="5">
        <f>_xlfn.RANK.AVG(Данные!H36,Данные!$H$2:$H$75,1)</f>
        <v>53.5</v>
      </c>
      <c r="M1196" s="5"/>
      <c r="N1196" s="5"/>
      <c r="O1196" s="5">
        <f>Данные!B36+(-0.105)</f>
        <v>3.895</v>
      </c>
      <c r="P1196" s="5">
        <f>Данные!H36</f>
        <v>6</v>
      </c>
      <c r="Q1196" s="5"/>
    </row>
    <row r="1197" spans="1:17" x14ac:dyDescent="0.25">
      <c r="A1197" s="5"/>
      <c r="B1197" s="5"/>
      <c r="C1197" s="5"/>
      <c r="D1197" s="5"/>
      <c r="E1197" s="5"/>
      <c r="F1197" s="5"/>
      <c r="G1197" s="5"/>
      <c r="H1197" s="5"/>
      <c r="I1197" s="5"/>
      <c r="J1197" s="5"/>
      <c r="K1197" s="5">
        <f>_xlfn.RANK.AVG(Данные!B37,Данные!$B$2:$B$75,1)</f>
        <v>32</v>
      </c>
      <c r="L1197" s="5">
        <f>_xlfn.RANK.AVG(Данные!H37,Данные!$H$2:$H$75,1)</f>
        <v>53.5</v>
      </c>
      <c r="M1197" s="5"/>
      <c r="N1197" s="5"/>
      <c r="O1197" s="5">
        <f>Данные!B37+(0)</f>
        <v>3</v>
      </c>
      <c r="P1197" s="5">
        <f>Данные!H37</f>
        <v>6</v>
      </c>
      <c r="Q1197" s="5"/>
    </row>
    <row r="1198" spans="1:17" x14ac:dyDescent="0.25">
      <c r="A1198" s="5"/>
      <c r="B1198" s="5"/>
      <c r="C1198" s="5"/>
      <c r="D1198" s="5"/>
      <c r="E1198" s="5"/>
      <c r="F1198" s="5"/>
      <c r="G1198" s="5"/>
      <c r="H1198" s="5"/>
      <c r="I1198" s="5"/>
      <c r="J1198" s="5"/>
      <c r="K1198" s="5">
        <f>_xlfn.RANK.AVG(Данные!B38,Данные!$B$2:$B$75,1)</f>
        <v>32</v>
      </c>
      <c r="L1198" s="5">
        <f>_xlfn.RANK.AVG(Данные!H38,Данные!$H$2:$H$75,1)</f>
        <v>26.5</v>
      </c>
      <c r="M1198" s="5"/>
      <c r="N1198" s="5"/>
      <c r="O1198" s="5">
        <f>Данные!B38+(0)</f>
        <v>3</v>
      </c>
      <c r="P1198" s="5">
        <f>Данные!H38</f>
        <v>4</v>
      </c>
      <c r="Q1198" s="5"/>
    </row>
    <row r="1199" spans="1:17" x14ac:dyDescent="0.25">
      <c r="A1199" s="5"/>
      <c r="B1199" s="5"/>
      <c r="C1199" s="5"/>
      <c r="D1199" s="5"/>
      <c r="E1199" s="5"/>
      <c r="F1199" s="5"/>
      <c r="G1199" s="5"/>
      <c r="H1199" s="5"/>
      <c r="I1199" s="5"/>
      <c r="J1199" s="5"/>
      <c r="K1199" s="5">
        <f>_xlfn.RANK.AVG(Данные!B39,Данные!$B$2:$B$75,1)</f>
        <v>56.5</v>
      </c>
      <c r="L1199" s="5">
        <f>_xlfn.RANK.AVG(Данные!H39,Данные!$H$2:$H$75,1)</f>
        <v>16.5</v>
      </c>
      <c r="M1199" s="5"/>
      <c r="N1199" s="5"/>
      <c r="O1199" s="5">
        <f>Данные!B39+(-0.07)</f>
        <v>3.93</v>
      </c>
      <c r="P1199" s="5">
        <f>Данные!H39</f>
        <v>3</v>
      </c>
      <c r="Q1199" s="5"/>
    </row>
    <row r="1200" spans="1:17" x14ac:dyDescent="0.25">
      <c r="A1200" s="5"/>
      <c r="B1200" s="5"/>
      <c r="C1200" s="5"/>
      <c r="D1200" s="5"/>
      <c r="E1200" s="5"/>
      <c r="F1200" s="5"/>
      <c r="G1200" s="5"/>
      <c r="H1200" s="5"/>
      <c r="I1200" s="5"/>
      <c r="J1200" s="5"/>
      <c r="K1200" s="5">
        <f>_xlfn.RANK.AVG(Данные!B40,Данные!$B$2:$B$75,1)</f>
        <v>32</v>
      </c>
      <c r="L1200" s="5">
        <f>_xlfn.RANK.AVG(Данные!H40,Данные!$H$2:$H$75,1)</f>
        <v>53.5</v>
      </c>
      <c r="M1200" s="5"/>
      <c r="N1200" s="5"/>
      <c r="O1200" s="5">
        <f>Данные!B40+(0.035)</f>
        <v>3.0350000000000001</v>
      </c>
      <c r="P1200" s="5">
        <f>Данные!H40</f>
        <v>6</v>
      </c>
      <c r="Q1200" s="5"/>
    </row>
    <row r="1201" spans="1:17" x14ac:dyDescent="0.25">
      <c r="A1201" s="5"/>
      <c r="B1201" s="5"/>
      <c r="C1201" s="5"/>
      <c r="D1201" s="5"/>
      <c r="E1201" s="5"/>
      <c r="F1201" s="5"/>
      <c r="G1201" s="5"/>
      <c r="H1201" s="5"/>
      <c r="I1201" s="5"/>
      <c r="J1201" s="5"/>
      <c r="K1201" s="5">
        <f>_xlfn.RANK.AVG(Данные!B41,Данные!$B$2:$B$75,1)</f>
        <v>56.5</v>
      </c>
      <c r="L1201" s="5">
        <f>_xlfn.RANK.AVG(Данные!H41,Данные!$H$2:$H$75,1)</f>
        <v>9</v>
      </c>
      <c r="M1201" s="5"/>
      <c r="N1201" s="5"/>
      <c r="O1201" s="5">
        <f>Данные!B41+(-0.105)</f>
        <v>3.895</v>
      </c>
      <c r="P1201" s="5">
        <f>Данные!H41</f>
        <v>2</v>
      </c>
      <c r="Q1201" s="5"/>
    </row>
    <row r="1202" spans="1:17" x14ac:dyDescent="0.25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5">
        <f>_xlfn.RANK.AVG(Данные!B42,Данные!$B$2:$B$75,1)</f>
        <v>32</v>
      </c>
      <c r="L1202" s="5">
        <f>_xlfn.RANK.AVG(Данные!H42,Данные!$H$2:$H$75,1)</f>
        <v>40</v>
      </c>
      <c r="M1202" s="5"/>
      <c r="N1202" s="5"/>
      <c r="O1202" s="5">
        <f>Данные!B42+(-0.035)</f>
        <v>2.9649999999999999</v>
      </c>
      <c r="P1202" s="5">
        <f>Данные!H42</f>
        <v>5</v>
      </c>
      <c r="Q1202" s="5"/>
    </row>
    <row r="1203" spans="1:17" x14ac:dyDescent="0.25">
      <c r="A1203" s="5"/>
      <c r="B1203" s="5"/>
      <c r="C1203" s="5"/>
      <c r="D1203" s="5"/>
      <c r="E1203" s="5"/>
      <c r="F1203" s="5"/>
      <c r="G1203" s="5"/>
      <c r="H1203" s="5"/>
      <c r="I1203" s="5"/>
      <c r="J1203" s="5"/>
      <c r="K1203" s="5">
        <f>_xlfn.RANK.AVG(Данные!B43,Данные!$B$2:$B$75,1)</f>
        <v>56.5</v>
      </c>
      <c r="L1203" s="5">
        <f>_xlfn.RANK.AVG(Данные!H43,Данные!$H$2:$H$75,1)</f>
        <v>26.5</v>
      </c>
      <c r="M1203" s="5"/>
      <c r="N1203" s="5"/>
      <c r="O1203" s="5">
        <f>Данные!B43+(-0.07)</f>
        <v>3.93</v>
      </c>
      <c r="P1203" s="5">
        <f>Данные!H43</f>
        <v>4</v>
      </c>
      <c r="Q1203" s="5"/>
    </row>
    <row r="1204" spans="1:17" x14ac:dyDescent="0.25">
      <c r="A1204" s="5"/>
      <c r="B1204" s="5"/>
      <c r="C1204" s="5"/>
      <c r="D1204" s="5"/>
      <c r="E1204" s="5"/>
      <c r="F1204" s="5"/>
      <c r="G1204" s="5"/>
      <c r="H1204" s="5"/>
      <c r="I1204" s="5"/>
      <c r="J1204" s="5"/>
      <c r="K1204" s="5">
        <f>_xlfn.RANK.AVG(Данные!B44,Данные!$B$2:$B$75,1)</f>
        <v>32</v>
      </c>
      <c r="L1204" s="5">
        <f>_xlfn.RANK.AVG(Данные!H44,Данные!$H$2:$H$75,1)</f>
        <v>40</v>
      </c>
      <c r="M1204" s="5"/>
      <c r="N1204" s="5"/>
      <c r="O1204" s="5">
        <f>Данные!B44+(0)</f>
        <v>3</v>
      </c>
      <c r="P1204" s="5">
        <f>Данные!H44</f>
        <v>5</v>
      </c>
      <c r="Q1204" s="5"/>
    </row>
    <row r="1205" spans="1:17" x14ac:dyDescent="0.25">
      <c r="A1205" s="5"/>
      <c r="B1205" s="5"/>
      <c r="C1205" s="5"/>
      <c r="D1205" s="5"/>
      <c r="E1205" s="5"/>
      <c r="F1205" s="5"/>
      <c r="G1205" s="5"/>
      <c r="H1205" s="5"/>
      <c r="I1205" s="5"/>
      <c r="J1205" s="5"/>
      <c r="K1205" s="5">
        <f>_xlfn.RANK.AVG(Данные!B45,Данные!$B$2:$B$75,1)</f>
        <v>32</v>
      </c>
      <c r="L1205" s="5">
        <f>_xlfn.RANK.AVG(Данные!H45,Данные!$H$2:$H$75,1)</f>
        <v>40</v>
      </c>
      <c r="M1205" s="5"/>
      <c r="N1205" s="5"/>
      <c r="O1205" s="5">
        <f>Данные!B45+(0.035)</f>
        <v>3.0350000000000001</v>
      </c>
      <c r="P1205" s="5">
        <f>Данные!H45</f>
        <v>5</v>
      </c>
      <c r="Q1205" s="5"/>
    </row>
    <row r="1206" spans="1:17" x14ac:dyDescent="0.25">
      <c r="A1206" s="5"/>
      <c r="B1206" s="5"/>
      <c r="C1206" s="5"/>
      <c r="D1206" s="5"/>
      <c r="E1206" s="5"/>
      <c r="F1206" s="5"/>
      <c r="G1206" s="5"/>
      <c r="H1206" s="5"/>
      <c r="I1206" s="5"/>
      <c r="J1206" s="5"/>
      <c r="K1206" s="5">
        <f>_xlfn.RANK.AVG(Данные!B46,Данные!$B$2:$B$75,1)</f>
        <v>56.5</v>
      </c>
      <c r="L1206" s="5">
        <f>_xlfn.RANK.AVG(Данные!H46,Данные!$H$2:$H$75,1)</f>
        <v>9</v>
      </c>
      <c r="M1206" s="5"/>
      <c r="N1206" s="5"/>
      <c r="O1206" s="5">
        <f>Данные!B46+(-0.07)</f>
        <v>3.93</v>
      </c>
      <c r="P1206" s="5">
        <f>Данные!H46</f>
        <v>2</v>
      </c>
      <c r="Q1206" s="5"/>
    </row>
    <row r="1207" spans="1:17" x14ac:dyDescent="0.25">
      <c r="A1207" s="5"/>
      <c r="B1207" s="5"/>
      <c r="C1207" s="5"/>
      <c r="D1207" s="5"/>
      <c r="E1207" s="5"/>
      <c r="F1207" s="5"/>
      <c r="G1207" s="5"/>
      <c r="H1207" s="5"/>
      <c r="I1207" s="5"/>
      <c r="J1207" s="5"/>
      <c r="K1207" s="5">
        <f>_xlfn.RANK.AVG(Данные!B47,Данные!$B$2:$B$75,1)</f>
        <v>32</v>
      </c>
      <c r="L1207" s="5">
        <f>_xlfn.RANK.AVG(Данные!H47,Данные!$H$2:$H$75,1)</f>
        <v>26.5</v>
      </c>
      <c r="M1207" s="5"/>
      <c r="N1207" s="5"/>
      <c r="O1207" s="5">
        <f>Данные!B47+(0.035)</f>
        <v>3.0350000000000001</v>
      </c>
      <c r="P1207" s="5">
        <f>Данные!H47</f>
        <v>4</v>
      </c>
      <c r="Q1207" s="5"/>
    </row>
    <row r="1208" spans="1:17" x14ac:dyDescent="0.25">
      <c r="A1208" s="5"/>
      <c r="B1208" s="5"/>
      <c r="C1208" s="5"/>
      <c r="D1208" s="5"/>
      <c r="E1208" s="5"/>
      <c r="F1208" s="5"/>
      <c r="G1208" s="5"/>
      <c r="H1208" s="5"/>
      <c r="I1208" s="5"/>
      <c r="J1208" s="5"/>
      <c r="K1208" s="5">
        <f>_xlfn.RANK.AVG(Данные!B48,Данные!$B$2:$B$75,1)</f>
        <v>56.5</v>
      </c>
      <c r="L1208" s="5">
        <f>_xlfn.RANK.AVG(Данные!H48,Данные!$H$2:$H$75,1)</f>
        <v>40</v>
      </c>
      <c r="M1208" s="5"/>
      <c r="N1208" s="5"/>
      <c r="O1208" s="5">
        <f>Данные!B48+(-0.105)</f>
        <v>3.895</v>
      </c>
      <c r="P1208" s="5">
        <f>Данные!H48</f>
        <v>5</v>
      </c>
      <c r="Q1208" s="5"/>
    </row>
    <row r="1209" spans="1:17" x14ac:dyDescent="0.25">
      <c r="A1209" s="5"/>
      <c r="B1209" s="5"/>
      <c r="C1209" s="5"/>
      <c r="D1209" s="5"/>
      <c r="E1209" s="5"/>
      <c r="F1209" s="5"/>
      <c r="G1209" s="5"/>
      <c r="H1209" s="5"/>
      <c r="I1209" s="5"/>
      <c r="J1209" s="5"/>
      <c r="K1209" s="5">
        <f>_xlfn.RANK.AVG(Данные!B49,Данные!$B$2:$B$75,1)</f>
        <v>32</v>
      </c>
      <c r="L1209" s="5">
        <f>_xlfn.RANK.AVG(Данные!H49,Данные!$H$2:$H$75,1)</f>
        <v>53.5</v>
      </c>
      <c r="M1209" s="5"/>
      <c r="N1209" s="5"/>
      <c r="O1209" s="5">
        <f>Данные!B49+(0.07)</f>
        <v>3.07</v>
      </c>
      <c r="P1209" s="5">
        <f>Данные!H49</f>
        <v>6</v>
      </c>
      <c r="Q1209" s="5"/>
    </row>
    <row r="1210" spans="1:17" x14ac:dyDescent="0.25">
      <c r="A1210" s="5"/>
      <c r="B1210" s="5"/>
      <c r="C1210" s="5"/>
      <c r="D1210" s="5"/>
      <c r="E1210" s="5"/>
      <c r="F1210" s="5"/>
      <c r="G1210" s="5"/>
      <c r="H1210" s="5"/>
      <c r="I1210" s="5"/>
      <c r="J1210" s="5"/>
      <c r="K1210" s="5">
        <f>_xlfn.RANK.AVG(Данные!B50,Данные!$B$2:$B$75,1)</f>
        <v>32</v>
      </c>
      <c r="L1210" s="5">
        <f>_xlfn.RANK.AVG(Данные!H50,Данные!$H$2:$H$75,1)</f>
        <v>73.5</v>
      </c>
      <c r="M1210" s="5"/>
      <c r="N1210" s="5"/>
      <c r="O1210" s="5">
        <f>Данные!B50+(-0.07)</f>
        <v>2.93</v>
      </c>
      <c r="P1210" s="5">
        <f>Данные!H50</f>
        <v>11</v>
      </c>
      <c r="Q1210" s="5"/>
    </row>
    <row r="1211" spans="1:17" x14ac:dyDescent="0.25">
      <c r="A1211" s="5"/>
      <c r="B1211" s="5"/>
      <c r="C1211" s="5"/>
      <c r="D1211" s="5"/>
      <c r="E1211" s="5"/>
      <c r="F1211" s="5"/>
      <c r="G1211" s="5"/>
      <c r="H1211" s="5"/>
      <c r="I1211" s="5"/>
      <c r="J1211" s="5"/>
      <c r="K1211" s="5">
        <f>_xlfn.RANK.AVG(Данные!B51,Данные!$B$2:$B$75,1)</f>
        <v>32</v>
      </c>
      <c r="L1211" s="5">
        <f>_xlfn.RANK.AVG(Данные!H51,Данные!$H$2:$H$75,1)</f>
        <v>40</v>
      </c>
      <c r="M1211" s="5"/>
      <c r="N1211" s="5"/>
      <c r="O1211" s="5">
        <f>Данные!B51+(0.07)</f>
        <v>3.07</v>
      </c>
      <c r="P1211" s="5">
        <f>Данные!H51</f>
        <v>5</v>
      </c>
      <c r="Q1211" s="5"/>
    </row>
    <row r="1212" spans="1:17" x14ac:dyDescent="0.25">
      <c r="A1212" s="5"/>
      <c r="B1212" s="5"/>
      <c r="C1212" s="5"/>
      <c r="D1212" s="5"/>
      <c r="E1212" s="5"/>
      <c r="F1212" s="5"/>
      <c r="G1212" s="5"/>
      <c r="H1212" s="5"/>
      <c r="I1212" s="5"/>
      <c r="J1212" s="5"/>
      <c r="K1212" s="5">
        <f>_xlfn.RANK.AVG(Данные!B52,Данные!$B$2:$B$75,1)</f>
        <v>32</v>
      </c>
      <c r="L1212" s="5">
        <f>_xlfn.RANK.AVG(Данные!H52,Данные!$H$2:$H$75,1)</f>
        <v>40</v>
      </c>
      <c r="M1212" s="5"/>
      <c r="N1212" s="5"/>
      <c r="O1212" s="5">
        <f>Данные!B52+(0.105)</f>
        <v>3.105</v>
      </c>
      <c r="P1212" s="5">
        <f>Данные!H52</f>
        <v>5</v>
      </c>
      <c r="Q1212" s="5"/>
    </row>
    <row r="1213" spans="1:17" x14ac:dyDescent="0.25">
      <c r="A1213" s="5"/>
      <c r="B1213" s="5"/>
      <c r="C1213" s="5"/>
      <c r="D1213" s="5"/>
      <c r="E1213" s="5"/>
      <c r="F1213" s="5"/>
      <c r="G1213" s="5"/>
      <c r="H1213" s="5"/>
      <c r="I1213" s="5"/>
      <c r="J1213" s="5"/>
      <c r="K1213" s="5">
        <f>_xlfn.RANK.AVG(Данные!B53,Данные!$B$2:$B$75,1)</f>
        <v>56.5</v>
      </c>
      <c r="L1213" s="5">
        <f>_xlfn.RANK.AVG(Данные!H53,Данные!$H$2:$H$75,1)</f>
        <v>16.5</v>
      </c>
      <c r="M1213" s="5"/>
      <c r="N1213" s="5"/>
      <c r="O1213" s="5">
        <f>Данные!B53+(-0.035)</f>
        <v>3.9649999999999999</v>
      </c>
      <c r="P1213" s="5">
        <f>Данные!H53</f>
        <v>3</v>
      </c>
      <c r="Q1213" s="5"/>
    </row>
    <row r="1214" spans="1:17" x14ac:dyDescent="0.25">
      <c r="A1214" s="5"/>
      <c r="B1214" s="5"/>
      <c r="C1214" s="5"/>
      <c r="D1214" s="5"/>
      <c r="E1214" s="5"/>
      <c r="F1214" s="5"/>
      <c r="G1214" s="5"/>
      <c r="H1214" s="5"/>
      <c r="I1214" s="5"/>
      <c r="J1214" s="5"/>
      <c r="K1214" s="5">
        <f>_xlfn.RANK.AVG(Данные!B54,Данные!$B$2:$B$75,1)</f>
        <v>32</v>
      </c>
      <c r="L1214" s="5">
        <f>_xlfn.RANK.AVG(Данные!H54,Данные!$H$2:$H$75,1)</f>
        <v>70.5</v>
      </c>
      <c r="M1214" s="5"/>
      <c r="N1214" s="5"/>
      <c r="O1214" s="5">
        <f>Данные!B54+(-0.105)</f>
        <v>2.895</v>
      </c>
      <c r="P1214" s="5">
        <f>Данные!H54</f>
        <v>9</v>
      </c>
      <c r="Q1214" s="5"/>
    </row>
    <row r="1215" spans="1:17" x14ac:dyDescent="0.25">
      <c r="A1215" s="5"/>
      <c r="B1215" s="5"/>
      <c r="C1215" s="5"/>
      <c r="D1215" s="5"/>
      <c r="E1215" s="5"/>
      <c r="F1215" s="5"/>
      <c r="G1215" s="5"/>
      <c r="H1215" s="5"/>
      <c r="I1215" s="5"/>
      <c r="J1215" s="5"/>
      <c r="K1215" s="5">
        <f>_xlfn.RANK.AVG(Данные!B55,Данные!$B$2:$B$75,1)</f>
        <v>56.5</v>
      </c>
      <c r="L1215" s="5">
        <f>_xlfn.RANK.AVG(Данные!H55,Данные!$H$2:$H$75,1)</f>
        <v>26.5</v>
      </c>
      <c r="M1215" s="5"/>
      <c r="N1215" s="5"/>
      <c r="O1215" s="5">
        <f>Данные!B55+(-0.035)</f>
        <v>3.9649999999999999</v>
      </c>
      <c r="P1215" s="5">
        <f>Данные!H55</f>
        <v>4</v>
      </c>
      <c r="Q1215" s="5"/>
    </row>
    <row r="1216" spans="1:17" x14ac:dyDescent="0.25">
      <c r="A1216" s="5"/>
      <c r="B1216" s="5"/>
      <c r="C1216" s="5"/>
      <c r="D1216" s="5"/>
      <c r="E1216" s="5"/>
      <c r="F1216" s="5"/>
      <c r="G1216" s="5"/>
      <c r="H1216" s="5"/>
      <c r="I1216" s="5"/>
      <c r="J1216" s="5"/>
      <c r="K1216" s="5">
        <f>_xlfn.RANK.AVG(Данные!B56,Данные!$B$2:$B$75,1)</f>
        <v>56.5</v>
      </c>
      <c r="L1216" s="5">
        <f>_xlfn.RANK.AVG(Данные!H56,Данные!$H$2:$H$75,1)</f>
        <v>26.5</v>
      </c>
      <c r="M1216" s="5"/>
      <c r="N1216" s="5"/>
      <c r="O1216" s="5">
        <f>Данные!B56+(0)</f>
        <v>4</v>
      </c>
      <c r="P1216" s="5">
        <f>Данные!H56</f>
        <v>4</v>
      </c>
      <c r="Q1216" s="5"/>
    </row>
    <row r="1217" spans="1:17" x14ac:dyDescent="0.25">
      <c r="A1217" s="5"/>
      <c r="B1217" s="5"/>
      <c r="C1217" s="5"/>
      <c r="D1217" s="5"/>
      <c r="E1217" s="5"/>
      <c r="F1217" s="5"/>
      <c r="G1217" s="5"/>
      <c r="H1217" s="5"/>
      <c r="I1217" s="5"/>
      <c r="J1217" s="5"/>
      <c r="K1217" s="5">
        <f>_xlfn.RANK.AVG(Данные!B57,Данные!$B$2:$B$75,1)</f>
        <v>56.5</v>
      </c>
      <c r="L1217" s="5">
        <f>_xlfn.RANK.AVG(Данные!H57,Данные!$H$2:$H$75,1)</f>
        <v>40</v>
      </c>
      <c r="M1217" s="5"/>
      <c r="N1217" s="5"/>
      <c r="O1217" s="5">
        <f>Данные!B57+(-0.07)</f>
        <v>3.93</v>
      </c>
      <c r="P1217" s="5">
        <f>Данные!H57</f>
        <v>5</v>
      </c>
      <c r="Q1217" s="5"/>
    </row>
    <row r="1218" spans="1:17" x14ac:dyDescent="0.25">
      <c r="A1218" s="5"/>
      <c r="B1218" s="5"/>
      <c r="C1218" s="5"/>
      <c r="D1218" s="5"/>
      <c r="E1218" s="5"/>
      <c r="F1218" s="5"/>
      <c r="G1218" s="5"/>
      <c r="H1218" s="5"/>
      <c r="I1218" s="5"/>
      <c r="J1218" s="5"/>
      <c r="K1218" s="5">
        <f>_xlfn.RANK.AVG(Данные!B58,Данные!$B$2:$B$75,1)</f>
        <v>56.5</v>
      </c>
      <c r="L1218" s="5">
        <f>_xlfn.RANK.AVG(Данные!H58,Данные!$H$2:$H$75,1)</f>
        <v>1.5</v>
      </c>
      <c r="M1218" s="5"/>
      <c r="N1218" s="5"/>
      <c r="O1218" s="5">
        <f>Данные!B58+(-0.105)</f>
        <v>3.895</v>
      </c>
      <c r="P1218" s="5">
        <f>Данные!H58</f>
        <v>0</v>
      </c>
      <c r="Q1218" s="5"/>
    </row>
    <row r="1219" spans="1:17" x14ac:dyDescent="0.25">
      <c r="A1219" s="5"/>
      <c r="B1219" s="5"/>
      <c r="C1219" s="5"/>
      <c r="D1219" s="5"/>
      <c r="E1219" s="5"/>
      <c r="F1219" s="5"/>
      <c r="G1219" s="5"/>
      <c r="H1219" s="5"/>
      <c r="I1219" s="5"/>
      <c r="J1219" s="5"/>
      <c r="K1219" s="5">
        <f>_xlfn.RANK.AVG(Данные!B59,Данные!$B$2:$B$75,1)</f>
        <v>56.5</v>
      </c>
      <c r="L1219" s="5">
        <f>_xlfn.RANK.AVG(Данные!H59,Данные!$H$2:$H$75,1)</f>
        <v>9</v>
      </c>
      <c r="M1219" s="5"/>
      <c r="N1219" s="5"/>
      <c r="O1219" s="5">
        <f>Данные!B59+(-0.035)</f>
        <v>3.9649999999999999</v>
      </c>
      <c r="P1219" s="5">
        <f>Данные!H59</f>
        <v>2</v>
      </c>
      <c r="Q1219" s="5"/>
    </row>
    <row r="1220" spans="1:17" x14ac:dyDescent="0.25">
      <c r="A1220" s="5"/>
      <c r="B1220" s="5"/>
      <c r="C1220" s="5"/>
      <c r="D1220" s="5"/>
      <c r="E1220" s="5"/>
      <c r="F1220" s="5"/>
      <c r="G1220" s="5"/>
      <c r="H1220" s="5"/>
      <c r="I1220" s="5"/>
      <c r="J1220" s="5"/>
      <c r="K1220" s="5">
        <f>_xlfn.RANK.AVG(Данные!B60,Данные!$B$2:$B$75,1)</f>
        <v>56.5</v>
      </c>
      <c r="L1220" s="5">
        <f>_xlfn.RANK.AVG(Данные!H60,Данные!$H$2:$H$75,1)</f>
        <v>72</v>
      </c>
      <c r="M1220" s="5"/>
      <c r="N1220" s="5"/>
      <c r="O1220" s="5">
        <f>Данные!B60+(-0.105)</f>
        <v>3.895</v>
      </c>
      <c r="P1220" s="5">
        <f>Данные!H60</f>
        <v>10</v>
      </c>
      <c r="Q1220" s="5"/>
    </row>
    <row r="1221" spans="1:17" x14ac:dyDescent="0.25">
      <c r="A1221" s="5"/>
      <c r="B1221" s="5"/>
      <c r="C1221" s="5"/>
      <c r="D1221" s="5"/>
      <c r="E1221" s="5"/>
      <c r="F1221" s="5"/>
      <c r="G1221" s="5"/>
      <c r="H1221" s="5"/>
      <c r="I1221" s="5"/>
      <c r="J1221" s="5"/>
      <c r="K1221" s="5">
        <f>_xlfn.RANK.AVG(Данные!B61,Данные!$B$2:$B$75,1)</f>
        <v>71.5</v>
      </c>
      <c r="L1221" s="5">
        <f>_xlfn.RANK.AVG(Данные!H61,Данные!$H$2:$H$75,1)</f>
        <v>9</v>
      </c>
      <c r="M1221" s="5"/>
      <c r="N1221" s="5"/>
      <c r="O1221" s="5">
        <f>Данные!B61+(-0.105)</f>
        <v>4.8949999999999996</v>
      </c>
      <c r="P1221" s="5">
        <f>Данные!H61</f>
        <v>2</v>
      </c>
      <c r="Q1221" s="5"/>
    </row>
    <row r="1222" spans="1:17" x14ac:dyDescent="0.25">
      <c r="A1222" s="5"/>
      <c r="B1222" s="5"/>
      <c r="C1222" s="5"/>
      <c r="D1222" s="5"/>
      <c r="E1222" s="5"/>
      <c r="F1222" s="5"/>
      <c r="G1222" s="5"/>
      <c r="H1222" s="5"/>
      <c r="I1222" s="5"/>
      <c r="J1222" s="5"/>
      <c r="K1222" s="5">
        <f>_xlfn.RANK.AVG(Данные!B62,Данные!$B$2:$B$75,1)</f>
        <v>56.5</v>
      </c>
      <c r="L1222" s="5">
        <f>_xlfn.RANK.AVG(Данные!H62,Данные!$H$2:$H$75,1)</f>
        <v>53.5</v>
      </c>
      <c r="M1222" s="5"/>
      <c r="N1222" s="5"/>
      <c r="O1222" s="5">
        <f>Данные!B62+(-0.07)</f>
        <v>3.93</v>
      </c>
      <c r="P1222" s="5">
        <f>Данные!H62</f>
        <v>6</v>
      </c>
      <c r="Q1222" s="5"/>
    </row>
    <row r="1223" spans="1:17" x14ac:dyDescent="0.25">
      <c r="A1223" s="5"/>
      <c r="B1223" s="5"/>
      <c r="C1223" s="5"/>
      <c r="D1223" s="5"/>
      <c r="E1223" s="5"/>
      <c r="F1223" s="5"/>
      <c r="G1223" s="5"/>
      <c r="H1223" s="5"/>
      <c r="I1223" s="5"/>
      <c r="J1223" s="5"/>
      <c r="K1223" s="5">
        <f>_xlfn.RANK.AVG(Данные!B63,Данные!$B$2:$B$75,1)</f>
        <v>56.5</v>
      </c>
      <c r="L1223" s="5">
        <f>_xlfn.RANK.AVG(Данные!H63,Данные!$H$2:$H$75,1)</f>
        <v>63.5</v>
      </c>
      <c r="M1223" s="5"/>
      <c r="N1223" s="5"/>
      <c r="O1223" s="5">
        <f>Данные!B63+(-0.105)</f>
        <v>3.895</v>
      </c>
      <c r="P1223" s="5">
        <f>Данные!H63</f>
        <v>7</v>
      </c>
      <c r="Q1223" s="5"/>
    </row>
    <row r="1224" spans="1:17" x14ac:dyDescent="0.25">
      <c r="A1224" s="5"/>
      <c r="B1224" s="5"/>
      <c r="C1224" s="5"/>
      <c r="D1224" s="5"/>
      <c r="E1224" s="5"/>
      <c r="F1224" s="5"/>
      <c r="G1224" s="5"/>
      <c r="H1224" s="5"/>
      <c r="I1224" s="5"/>
      <c r="J1224" s="5"/>
      <c r="K1224" s="5">
        <f>_xlfn.RANK.AVG(Данные!B64,Данные!$B$2:$B$75,1)</f>
        <v>56.5</v>
      </c>
      <c r="L1224" s="5">
        <f>_xlfn.RANK.AVG(Данные!H64,Данные!$H$2:$H$75,1)</f>
        <v>40</v>
      </c>
      <c r="M1224" s="5"/>
      <c r="N1224" s="5"/>
      <c r="O1224" s="5">
        <f>Данные!B64+(-0.035)</f>
        <v>3.9649999999999999</v>
      </c>
      <c r="P1224" s="5">
        <f>Данные!H64</f>
        <v>5</v>
      </c>
      <c r="Q1224" s="5"/>
    </row>
    <row r="1225" spans="1:17" x14ac:dyDescent="0.25">
      <c r="A1225" s="5"/>
      <c r="B1225" s="5"/>
      <c r="C1225" s="5"/>
      <c r="D1225" s="5"/>
      <c r="E1225" s="5"/>
      <c r="F1225" s="5"/>
      <c r="G1225" s="5"/>
      <c r="H1225" s="5"/>
      <c r="I1225" s="5"/>
      <c r="J1225" s="5"/>
      <c r="K1225" s="5">
        <f>_xlfn.RANK.AVG(Данные!B65,Данные!$B$2:$B$75,1)</f>
        <v>56.5</v>
      </c>
      <c r="L1225" s="5">
        <f>_xlfn.RANK.AVG(Данные!H65,Данные!$H$2:$H$75,1)</f>
        <v>16.5</v>
      </c>
      <c r="M1225" s="5"/>
      <c r="N1225" s="5"/>
      <c r="O1225" s="5">
        <f>Данные!B65+(0)</f>
        <v>4</v>
      </c>
      <c r="P1225" s="5">
        <f>Данные!H65</f>
        <v>3</v>
      </c>
      <c r="Q1225" s="5"/>
    </row>
    <row r="1226" spans="1:17" x14ac:dyDescent="0.25">
      <c r="A1226" s="5"/>
      <c r="B1226" s="5"/>
      <c r="C1226" s="5"/>
      <c r="D1226" s="5"/>
      <c r="E1226" s="5"/>
      <c r="F1226" s="5"/>
      <c r="G1226" s="5"/>
      <c r="H1226" s="5"/>
      <c r="I1226" s="5"/>
      <c r="J1226" s="5"/>
      <c r="K1226" s="5">
        <f>_xlfn.RANK.AVG(Данные!B66,Данные!$B$2:$B$75,1)</f>
        <v>56.5</v>
      </c>
      <c r="L1226" s="5">
        <f>_xlfn.RANK.AVG(Данные!H66,Данные!$H$2:$H$75,1)</f>
        <v>63.5</v>
      </c>
      <c r="M1226" s="5"/>
      <c r="N1226" s="5"/>
      <c r="O1226" s="5">
        <f>Данные!B66+(-0.07)</f>
        <v>3.93</v>
      </c>
      <c r="P1226" s="5">
        <f>Данные!H66</f>
        <v>7</v>
      </c>
      <c r="Q1226" s="5"/>
    </row>
    <row r="1227" spans="1:17" x14ac:dyDescent="0.25">
      <c r="A1227" s="5"/>
      <c r="B1227" s="5"/>
      <c r="C1227" s="5"/>
      <c r="D1227" s="5"/>
      <c r="E1227" s="5"/>
      <c r="F1227" s="5"/>
      <c r="G1227" s="5"/>
      <c r="H1227" s="5"/>
      <c r="I1227" s="5"/>
      <c r="J1227" s="5"/>
      <c r="K1227" s="5">
        <f>_xlfn.RANK.AVG(Данные!B67,Данные!$B$2:$B$75,1)</f>
        <v>71.5</v>
      </c>
      <c r="L1227" s="5">
        <f>_xlfn.RANK.AVG(Данные!H67,Данные!$H$2:$H$75,1)</f>
        <v>40</v>
      </c>
      <c r="M1227" s="5"/>
      <c r="N1227" s="5"/>
      <c r="O1227" s="5">
        <f>Данные!B67+(-0.105)</f>
        <v>4.8949999999999996</v>
      </c>
      <c r="P1227" s="5">
        <f>Данные!H67</f>
        <v>5</v>
      </c>
      <c r="Q1227" s="5"/>
    </row>
    <row r="1228" spans="1:17" x14ac:dyDescent="0.25">
      <c r="A1228" s="5"/>
      <c r="B1228" s="5"/>
      <c r="C1228" s="5"/>
      <c r="D1228" s="5"/>
      <c r="E1228" s="5"/>
      <c r="F1228" s="5"/>
      <c r="G1228" s="5"/>
      <c r="H1228" s="5"/>
      <c r="I1228" s="5"/>
      <c r="J1228" s="5"/>
      <c r="K1228" s="5">
        <f>_xlfn.RANK.AVG(Данные!B68,Данные!$B$2:$B$75,1)</f>
        <v>71.5</v>
      </c>
      <c r="L1228" s="5">
        <f>_xlfn.RANK.AVG(Данные!H68,Данные!$H$2:$H$75,1)</f>
        <v>68.5</v>
      </c>
      <c r="M1228" s="5"/>
      <c r="N1228" s="5"/>
      <c r="O1228" s="5">
        <f>Данные!B68+(-0.105)</f>
        <v>4.8949999999999996</v>
      </c>
      <c r="P1228" s="5">
        <f>Данные!H68</f>
        <v>8</v>
      </c>
      <c r="Q1228" s="5"/>
    </row>
    <row r="1229" spans="1:17" x14ac:dyDescent="0.25">
      <c r="A1229" s="5"/>
      <c r="B1229" s="5"/>
      <c r="C1229" s="5"/>
      <c r="D1229" s="5"/>
      <c r="E1229" s="5"/>
      <c r="F1229" s="5"/>
      <c r="G1229" s="5"/>
      <c r="H1229" s="5"/>
      <c r="I1229" s="5"/>
      <c r="J1229" s="5"/>
      <c r="K1229" s="5">
        <f>_xlfn.RANK.AVG(Данные!B69,Данные!$B$2:$B$75,1)</f>
        <v>56.5</v>
      </c>
      <c r="L1229" s="5">
        <f>_xlfn.RANK.AVG(Данные!H69,Данные!$H$2:$H$75,1)</f>
        <v>40</v>
      </c>
      <c r="M1229" s="5"/>
      <c r="N1229" s="5"/>
      <c r="O1229" s="5">
        <f>Данные!B69+(0)</f>
        <v>4</v>
      </c>
      <c r="P1229" s="5">
        <f>Данные!H69</f>
        <v>5</v>
      </c>
      <c r="Q1229" s="5"/>
    </row>
    <row r="1230" spans="1:17" x14ac:dyDescent="0.25">
      <c r="A1230" s="5"/>
      <c r="B1230" s="5"/>
      <c r="C1230" s="5"/>
      <c r="D1230" s="5"/>
      <c r="E1230" s="5"/>
      <c r="F1230" s="5"/>
      <c r="G1230" s="5"/>
      <c r="H1230" s="5"/>
      <c r="I1230" s="5"/>
      <c r="J1230" s="5"/>
      <c r="K1230" s="5">
        <f>_xlfn.RANK.AVG(Данные!B70,Данные!$B$2:$B$75,1)</f>
        <v>56.5</v>
      </c>
      <c r="L1230" s="5">
        <f>_xlfn.RANK.AVG(Данные!H70,Данные!$H$2:$H$75,1)</f>
        <v>63.5</v>
      </c>
      <c r="M1230" s="5"/>
      <c r="N1230" s="5"/>
      <c r="O1230" s="5">
        <f>Данные!B70+(-0.035)</f>
        <v>3.9649999999999999</v>
      </c>
      <c r="P1230" s="5">
        <f>Данные!H70</f>
        <v>7</v>
      </c>
      <c r="Q1230" s="5"/>
    </row>
    <row r="1231" spans="1:17" x14ac:dyDescent="0.25">
      <c r="A1231" s="5"/>
      <c r="B1231" s="5"/>
      <c r="C1231" s="5"/>
      <c r="D1231" s="5"/>
      <c r="E1231" s="5"/>
      <c r="F1231" s="5"/>
      <c r="G1231" s="5"/>
      <c r="H1231" s="5"/>
      <c r="I1231" s="5"/>
      <c r="J1231" s="5"/>
      <c r="K1231" s="5">
        <f>_xlfn.RANK.AVG(Данные!B71,Данные!$B$2:$B$75,1)</f>
        <v>71.5</v>
      </c>
      <c r="L1231" s="5">
        <f>_xlfn.RANK.AVG(Данные!H71,Данные!$H$2:$H$75,1)</f>
        <v>53.5</v>
      </c>
      <c r="M1231" s="5"/>
      <c r="N1231" s="5"/>
      <c r="O1231" s="5">
        <f>Данные!B71+(-0.105)</f>
        <v>4.8949999999999996</v>
      </c>
      <c r="P1231" s="5">
        <f>Данные!H71</f>
        <v>6</v>
      </c>
      <c r="Q1231" s="5"/>
    </row>
    <row r="1232" spans="1:17" x14ac:dyDescent="0.25">
      <c r="A1232" s="5"/>
      <c r="B1232" s="5"/>
      <c r="C1232" s="5"/>
      <c r="D1232" s="5"/>
      <c r="E1232" s="5"/>
      <c r="F1232" s="5"/>
      <c r="G1232" s="5"/>
      <c r="H1232" s="5"/>
      <c r="I1232" s="5"/>
      <c r="J1232" s="5"/>
      <c r="K1232" s="5">
        <f>_xlfn.RANK.AVG(Данные!B72,Данные!$B$2:$B$75,1)</f>
        <v>71.5</v>
      </c>
      <c r="L1232" s="5">
        <f>_xlfn.RANK.AVG(Данные!H72,Данные!$H$2:$H$75,1)</f>
        <v>26.5</v>
      </c>
      <c r="M1232" s="5"/>
      <c r="N1232" s="5"/>
      <c r="O1232" s="5">
        <f>Данные!B72+(-0.105)</f>
        <v>4.8949999999999996</v>
      </c>
      <c r="P1232" s="5">
        <f>Данные!H72</f>
        <v>4</v>
      </c>
      <c r="Q1232" s="5"/>
    </row>
    <row r="1233" spans="1:17" x14ac:dyDescent="0.25">
      <c r="A1233" s="5"/>
      <c r="B1233" s="5"/>
      <c r="C1233" s="5"/>
      <c r="D1233" s="5"/>
      <c r="E1233" s="5"/>
      <c r="F1233" s="5"/>
      <c r="G1233" s="5"/>
      <c r="H1233" s="5"/>
      <c r="I1233" s="5"/>
      <c r="J1233" s="5"/>
      <c r="K1233" s="5">
        <f>_xlfn.RANK.AVG(Данные!B73,Данные!$B$2:$B$75,1)</f>
        <v>71.5</v>
      </c>
      <c r="L1233" s="5">
        <f>_xlfn.RANK.AVG(Данные!H73,Данные!$H$2:$H$75,1)</f>
        <v>16.5</v>
      </c>
      <c r="M1233" s="5"/>
      <c r="N1233" s="5"/>
      <c r="O1233" s="5">
        <f>Данные!B73+(-0.105)</f>
        <v>4.8949999999999996</v>
      </c>
      <c r="P1233" s="5">
        <f>Данные!H73</f>
        <v>3</v>
      </c>
      <c r="Q1233" s="5"/>
    </row>
    <row r="1234" spans="1:17" x14ac:dyDescent="0.25">
      <c r="A1234" s="5"/>
      <c r="B1234" s="5"/>
      <c r="C1234" s="5"/>
      <c r="D1234" s="5"/>
      <c r="E1234" s="5"/>
      <c r="F1234" s="5"/>
      <c r="G1234" s="5"/>
      <c r="H1234" s="5"/>
      <c r="I1234" s="5"/>
      <c r="J1234" s="5"/>
      <c r="K1234" s="5">
        <f>_xlfn.RANK.AVG(Данные!B74,Данные!$B$2:$B$75,1)</f>
        <v>56.5</v>
      </c>
      <c r="L1234" s="5">
        <f>_xlfn.RANK.AVG(Данные!H74,Данные!$H$2:$H$75,1)</f>
        <v>40</v>
      </c>
      <c r="M1234" s="5"/>
      <c r="N1234" s="5"/>
      <c r="O1234" s="5">
        <f>Данные!B74+(0.035)</f>
        <v>4.0350000000000001</v>
      </c>
      <c r="P1234" s="5">
        <f>Данные!H74</f>
        <v>5</v>
      </c>
      <c r="Q1234" s="5"/>
    </row>
    <row r="1235" spans="1:17" x14ac:dyDescent="0.25">
      <c r="A1235" s="5"/>
      <c r="B1235" s="5"/>
      <c r="C1235" s="5"/>
      <c r="D1235" s="5"/>
      <c r="E1235" s="5"/>
      <c r="F1235" s="5"/>
      <c r="G1235" s="5"/>
      <c r="H1235" s="5"/>
      <c r="I1235" s="5"/>
      <c r="J1235" s="5"/>
      <c r="K1235" s="5">
        <f>_xlfn.RANK.AVG(Данные!B75,Данные!$B$2:$B$75,1)</f>
        <v>56.5</v>
      </c>
      <c r="L1235" s="5">
        <f>_xlfn.RANK.AVG(Данные!H75,Данные!$H$2:$H$75,1)</f>
        <v>70.5</v>
      </c>
      <c r="M1235" s="5"/>
      <c r="N1235" s="5"/>
      <c r="O1235" s="5">
        <f>Данные!B75+(-0.105)</f>
        <v>3.895</v>
      </c>
      <c r="P1235" s="5">
        <f>Данные!H75</f>
        <v>9</v>
      </c>
      <c r="Q1235" s="5"/>
    </row>
    <row r="1236" spans="1:17" x14ac:dyDescent="0.25">
      <c r="A1236" s="5"/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  <c r="O1236" s="5"/>
      <c r="P1236" s="5"/>
      <c r="Q1236" s="5"/>
    </row>
    <row r="1237" spans="1:17" x14ac:dyDescent="0.25">
      <c r="A1237" s="5"/>
      <c r="B1237" s="5"/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  <c r="O1237" s="5"/>
      <c r="P1237" s="5"/>
      <c r="Q1237" s="5"/>
    </row>
    <row r="1238" spans="1:17" x14ac:dyDescent="0.25">
      <c r="A1238" s="5"/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</row>
    <row r="1239" spans="1:17" x14ac:dyDescent="0.25">
      <c r="A1239" s="5"/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  <c r="O1239" s="5"/>
      <c r="P1239" s="5"/>
      <c r="Q1239" s="5"/>
    </row>
    <row r="1240" spans="1:17" x14ac:dyDescent="0.25">
      <c r="A1240" s="5"/>
      <c r="B1240" s="5"/>
      <c r="C1240" s="5"/>
      <c r="D1240" s="5" t="s">
        <v>51</v>
      </c>
      <c r="E1240" s="5">
        <v>1</v>
      </c>
      <c r="F1240" s="5">
        <v>2</v>
      </c>
      <c r="G1240" s="5">
        <v>3</v>
      </c>
      <c r="H1240" s="5">
        <v>4</v>
      </c>
      <c r="I1240" s="5">
        <v>5</v>
      </c>
      <c r="J1240" s="5"/>
      <c r="K1240" s="5"/>
      <c r="L1240" s="5"/>
      <c r="M1240" s="5"/>
      <c r="N1240" s="5"/>
      <c r="O1240" s="5"/>
      <c r="P1240" s="5"/>
      <c r="Q1240" s="5"/>
    </row>
    <row r="1241" spans="1:17" x14ac:dyDescent="0.25">
      <c r="A1241" s="5"/>
      <c r="B1241" s="5"/>
      <c r="C1241" s="5"/>
      <c r="D1241" s="5" t="s">
        <v>58</v>
      </c>
      <c r="E1241" s="5">
        <f>COUNT(E1162:E1168)</f>
        <v>7</v>
      </c>
      <c r="F1241" s="5">
        <f>COUNT(F1162:F1173)</f>
        <v>12</v>
      </c>
      <c r="G1241" s="5">
        <f>COUNT(G1162:G1186)</f>
        <v>25</v>
      </c>
      <c r="H1241" s="5">
        <f>COUNT(H1162:H1185)</f>
        <v>24</v>
      </c>
      <c r="I1241" s="5">
        <f>COUNT(I1162:I1167)</f>
        <v>6</v>
      </c>
      <c r="J1241" s="5"/>
      <c r="K1241" s="5"/>
      <c r="L1241" s="5"/>
      <c r="M1241" s="5"/>
      <c r="N1241" s="5"/>
      <c r="O1241" s="5"/>
      <c r="P1241" s="5"/>
      <c r="Q1241" s="5"/>
    </row>
    <row r="1242" spans="1:17" x14ac:dyDescent="0.25">
      <c r="A1242" s="5"/>
      <c r="B1242" s="5"/>
      <c r="C1242" s="5"/>
      <c r="D1242" s="5" t="s">
        <v>59</v>
      </c>
      <c r="E1242" s="9">
        <f>AVERAGE(E1162:E1168)</f>
        <v>3.2857142857142856</v>
      </c>
      <c r="F1242" s="9">
        <f>AVERAGE(F1162:F1173)</f>
        <v>3.8333333333333335</v>
      </c>
      <c r="G1242" s="9">
        <f>AVERAGE(G1162:G1186)</f>
        <v>6</v>
      </c>
      <c r="H1242" s="9">
        <f>AVERAGE(H1162:H1185)</f>
        <v>4.625</v>
      </c>
      <c r="I1242" s="9">
        <f>AVERAGE(I1162:I1167)</f>
        <v>4.666666666666667</v>
      </c>
      <c r="J1242" s="5"/>
      <c r="K1242" s="5"/>
      <c r="L1242" s="5"/>
      <c r="M1242" s="5"/>
      <c r="N1242" s="5"/>
      <c r="O1242" s="5"/>
      <c r="P1242" s="5"/>
      <c r="Q1242" s="5"/>
    </row>
    <row r="1243" spans="1:17" x14ac:dyDescent="0.25">
      <c r="A1243" s="5"/>
      <c r="B1243" s="5"/>
      <c r="C1243" s="5"/>
      <c r="D1243" s="5" t="s">
        <v>60</v>
      </c>
      <c r="E1243" s="9">
        <f>_xlfn.QUARTILE.INC(E1162:E1168,1)</f>
        <v>2.5</v>
      </c>
      <c r="F1243" s="9">
        <f>_xlfn.QUARTILE.INC(F1162:F1173,1)</f>
        <v>1.75</v>
      </c>
      <c r="G1243" s="9">
        <f>_xlfn.QUARTILE.INC(G1162:G1186,1)</f>
        <v>5</v>
      </c>
      <c r="H1243" s="9">
        <f>_xlfn.QUARTILE.INC(H1162:H1185,1)</f>
        <v>3</v>
      </c>
      <c r="I1243" s="9">
        <f>_xlfn.QUARTILE.INC(I1162:I1167,1)</f>
        <v>3.25</v>
      </c>
      <c r="J1243" s="5"/>
      <c r="K1243" s="5"/>
      <c r="L1243" s="5"/>
      <c r="M1243" s="5"/>
      <c r="N1243" s="5"/>
      <c r="O1243" s="5"/>
      <c r="P1243" s="5"/>
      <c r="Q1243" s="5"/>
    </row>
    <row r="1244" spans="1:17" x14ac:dyDescent="0.25">
      <c r="A1244" s="5"/>
      <c r="B1244" s="5"/>
      <c r="C1244" s="5"/>
      <c r="D1244" s="5" t="s">
        <v>61</v>
      </c>
      <c r="E1244" s="9">
        <f>MEDIAN(E1162:E1168)</f>
        <v>3</v>
      </c>
      <c r="F1244" s="9">
        <f>MEDIAN(F1162:F1173)</f>
        <v>4</v>
      </c>
      <c r="G1244" s="9">
        <f>MEDIAN(G1162:G1186)</f>
        <v>6</v>
      </c>
      <c r="H1244" s="9">
        <f>MEDIAN(H1162:H1185)</f>
        <v>4.5</v>
      </c>
      <c r="I1244" s="9">
        <f>MEDIAN(I1162:I1167)</f>
        <v>4.5</v>
      </c>
      <c r="J1244" s="5"/>
      <c r="K1244" s="5"/>
      <c r="L1244" s="5"/>
      <c r="M1244" s="5"/>
      <c r="N1244" s="5"/>
      <c r="O1244" s="5"/>
      <c r="P1244" s="5"/>
      <c r="Q1244" s="5"/>
    </row>
    <row r="1245" spans="1:17" x14ac:dyDescent="0.25">
      <c r="A1245" s="5"/>
      <c r="B1245" s="5"/>
      <c r="C1245" s="5"/>
      <c r="D1245" s="5" t="s">
        <v>62</v>
      </c>
      <c r="E1245" s="9">
        <f>_xlfn.QUARTILE.INC(E1162:E1168,3)</f>
        <v>4</v>
      </c>
      <c r="F1245" s="9">
        <f>_xlfn.QUARTILE.INC(F1162:F1173,3)</f>
        <v>6</v>
      </c>
      <c r="G1245" s="9">
        <f>_xlfn.QUARTILE.INC(G1162:G1186,3)</f>
        <v>7</v>
      </c>
      <c r="H1245" s="9">
        <f>_xlfn.QUARTILE.INC(H1162:H1185,3)</f>
        <v>6</v>
      </c>
      <c r="I1245" s="9">
        <f>_xlfn.QUARTILE.INC(I1162:I1167,3)</f>
        <v>5.75</v>
      </c>
      <c r="J1245" s="5"/>
      <c r="K1245" s="5"/>
      <c r="L1245" s="5"/>
      <c r="M1245" s="5"/>
      <c r="N1245" s="5"/>
      <c r="O1245" s="5"/>
      <c r="P1245" s="5"/>
      <c r="Q1245" s="5"/>
    </row>
    <row r="1246" spans="1:17" x14ac:dyDescent="0.25">
      <c r="A1246" s="5"/>
      <c r="B1246" s="5"/>
      <c r="C1246" s="5"/>
      <c r="D1246" s="5" t="s">
        <v>63</v>
      </c>
      <c r="E1246" s="9">
        <f>E1245-E1243</f>
        <v>1.5</v>
      </c>
      <c r="F1246" s="9">
        <f>F1245-F1243</f>
        <v>4.25</v>
      </c>
      <c r="G1246" s="9">
        <f>G1245-G1243</f>
        <v>2</v>
      </c>
      <c r="H1246" s="9">
        <f>H1245-H1243</f>
        <v>3</v>
      </c>
      <c r="I1246" s="9">
        <f>I1245-I1243</f>
        <v>2.5</v>
      </c>
      <c r="J1246" s="5"/>
      <c r="K1246" s="5"/>
      <c r="L1246" s="5"/>
      <c r="M1246" s="5"/>
      <c r="N1246" s="5"/>
      <c r="O1246" s="5"/>
      <c r="P1246" s="5"/>
      <c r="Q1246" s="5"/>
    </row>
    <row r="1247" spans="1:17" x14ac:dyDescent="0.25">
      <c r="A1247" s="5"/>
      <c r="B1247" s="5"/>
      <c r="C1247" s="5"/>
      <c r="D1247" s="5" t="s">
        <v>64</v>
      </c>
      <c r="E1247" s="9">
        <f>E1243-1.5*E1246</f>
        <v>0.25</v>
      </c>
      <c r="F1247" s="9">
        <f>F1243-1.5*F1246</f>
        <v>-4.625</v>
      </c>
      <c r="G1247" s="9">
        <f>G1243-1.5*G1246</f>
        <v>2</v>
      </c>
      <c r="H1247" s="9">
        <f>H1243-1.5*H1246</f>
        <v>-1.5</v>
      </c>
      <c r="I1247" s="9">
        <f>I1243-1.5*I1246</f>
        <v>-0.5</v>
      </c>
      <c r="J1247" s="5"/>
      <c r="K1247" s="5"/>
      <c r="L1247" s="5"/>
      <c r="M1247" s="5"/>
      <c r="N1247" s="5"/>
      <c r="O1247" s="5"/>
      <c r="P1247" s="5"/>
      <c r="Q1247" s="5"/>
    </row>
    <row r="1248" spans="1:17" x14ac:dyDescent="0.25">
      <c r="A1248" s="5"/>
      <c r="B1248" s="5"/>
      <c r="C1248" s="5"/>
      <c r="D1248" s="5" t="s">
        <v>65</v>
      </c>
      <c r="E1248" s="9">
        <f>E1245+1.5*E1246</f>
        <v>6.25</v>
      </c>
      <c r="F1248" s="9">
        <f>F1245+1.5*F1246</f>
        <v>12.375</v>
      </c>
      <c r="G1248" s="9">
        <f>G1245+1.5*G1246</f>
        <v>10</v>
      </c>
      <c r="H1248" s="9">
        <f>H1245+1.5*H1246</f>
        <v>10.5</v>
      </c>
      <c r="I1248" s="9">
        <f>I1245+1.5*I1246</f>
        <v>9.5</v>
      </c>
      <c r="J1248" s="5"/>
      <c r="K1248" s="5"/>
      <c r="L1248" s="5"/>
      <c r="M1248" s="5"/>
      <c r="N1248" s="5"/>
      <c r="O1248" s="5"/>
      <c r="P1248" s="5"/>
      <c r="Q1248" s="5"/>
    </row>
    <row r="1249" spans="1:22" x14ac:dyDescent="0.25">
      <c r="A1249" s="5"/>
      <c r="B1249" s="5"/>
      <c r="C1249" s="5"/>
      <c r="D1249" s="5" t="s">
        <v>66</v>
      </c>
      <c r="E1249" s="9">
        <f>_xlfn.MINIFS(E1162:E1168,E1162:E1168,"&gt;="&amp;E1247)</f>
        <v>1</v>
      </c>
      <c r="F1249" s="9">
        <f>_xlfn.MINIFS(F1162:F1173,F1162:F1173,"&gt;="&amp;F1247)</f>
        <v>0</v>
      </c>
      <c r="G1249" s="9">
        <f>_xlfn.MINIFS(G1162:G1186,G1162:G1186,"&gt;="&amp;G1247)</f>
        <v>4</v>
      </c>
      <c r="H1249" s="9">
        <f>_xlfn.MINIFS(H1162:H1185,H1162:H1185,"&gt;="&amp;H1247)</f>
        <v>0</v>
      </c>
      <c r="I1249" s="9">
        <f>_xlfn.MINIFS(I1162:I1167,I1162:I1167,"&gt;="&amp;I1247)</f>
        <v>2</v>
      </c>
      <c r="J1249" s="5"/>
      <c r="K1249" s="5"/>
      <c r="L1249" s="5"/>
      <c r="M1249" s="5"/>
      <c r="N1249" s="5"/>
      <c r="O1249" s="5"/>
      <c r="P1249" s="5"/>
      <c r="Q1249" s="5"/>
    </row>
    <row r="1250" spans="1:22" x14ac:dyDescent="0.25">
      <c r="A1250" s="5"/>
      <c r="B1250" s="5"/>
      <c r="C1250" s="5"/>
      <c r="D1250" s="5" t="s">
        <v>67</v>
      </c>
      <c r="E1250" s="9">
        <f>_xlfn.MAXIFS(E1162:E1168,E1162:E1168,"&lt;="&amp;E1248)</f>
        <v>6</v>
      </c>
      <c r="F1250" s="9">
        <f>_xlfn.MAXIFS(F1162:F1173,F1162:F1173,"&lt;="&amp;F1248)</f>
        <v>8</v>
      </c>
      <c r="G1250" s="9">
        <f>_xlfn.MAXIFS(G1162:G1186,G1162:G1186,"&lt;="&amp;G1248)</f>
        <v>9</v>
      </c>
      <c r="H1250" s="9">
        <f>_xlfn.MAXIFS(H1162:H1185,H1162:H1185,"&lt;="&amp;H1248)</f>
        <v>10</v>
      </c>
      <c r="I1250" s="9">
        <f>_xlfn.MAXIFS(I1162:I1167,I1162:I1167,"&lt;="&amp;I1248)</f>
        <v>8</v>
      </c>
      <c r="J1250" s="5"/>
      <c r="K1250" s="5"/>
      <c r="L1250" s="5"/>
      <c r="M1250" s="5"/>
      <c r="N1250" s="5"/>
      <c r="O1250" s="5"/>
      <c r="P1250" s="5"/>
      <c r="Q1250" s="5"/>
    </row>
    <row r="1251" spans="1:22" x14ac:dyDescent="0.25">
      <c r="A1251" s="5"/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  <c r="O1251" s="5"/>
      <c r="P1251" s="5"/>
      <c r="Q1251" s="5"/>
    </row>
    <row r="1252" spans="1:22" x14ac:dyDescent="0.25">
      <c r="A1252" s="5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  <c r="O1252" s="5"/>
      <c r="P1252" s="5"/>
      <c r="Q1252" s="5"/>
    </row>
    <row r="1253" spans="1:22" x14ac:dyDescent="0.25">
      <c r="A1253" s="5"/>
      <c r="B1253" s="5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  <c r="O1253" s="5"/>
      <c r="P1253" s="5"/>
      <c r="Q1253" s="5"/>
    </row>
    <row r="1254" spans="1:22" x14ac:dyDescent="0.25">
      <c r="A1254" s="5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</row>
    <row r="1255" spans="1:22" x14ac:dyDescent="0.25">
      <c r="A1255" s="5"/>
      <c r="B1255" s="5" t="str">
        <f>Спирман_графики!D167&amp;CHAR(10)&amp;Спирман_графики!B169</f>
        <v>ТК3 в зависимости от Л1
ρ = 0,086; p = 0,4655; n = 74</v>
      </c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  <c r="O1255" s="5"/>
      <c r="P1255" s="5"/>
      <c r="Q1255" s="5"/>
    </row>
    <row r="1256" spans="1:22" x14ac:dyDescent="0.25">
      <c r="A1256" s="5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  <c r="O1256" s="5"/>
      <c r="P1256" s="5"/>
      <c r="Q1256" s="5"/>
    </row>
    <row r="1257" spans="1:22" x14ac:dyDescent="0.25">
      <c r="A1257" s="5"/>
      <c r="B1257" s="5"/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  <c r="O1257" s="5"/>
      <c r="P1257" s="5"/>
      <c r="Q1257" s="5"/>
    </row>
    <row r="1258" spans="1:22" x14ac:dyDescent="0.25">
      <c r="A1258" s="5"/>
      <c r="B1258" s="5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</row>
    <row r="1259" spans="1:22" x14ac:dyDescent="0.25">
      <c r="A1259" s="5"/>
      <c r="B1259" s="5"/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  <c r="O1259" s="5"/>
      <c r="P1259" s="5"/>
      <c r="Q1259" s="5"/>
      <c r="U1259" t="s">
        <v>68</v>
      </c>
    </row>
    <row r="1260" spans="1:22" x14ac:dyDescent="0.25">
      <c r="A1260" s="5">
        <v>0.75</v>
      </c>
      <c r="B1260" s="5">
        <f>E1243</f>
        <v>2.5</v>
      </c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  <c r="O1260" s="5"/>
      <c r="P1260" s="5"/>
      <c r="Q1260" s="5"/>
      <c r="U1260">
        <f>A1266</f>
        <v>0.75</v>
      </c>
      <c r="V1260">
        <f>B1266</f>
        <v>3</v>
      </c>
    </row>
    <row r="1261" spans="1:22" x14ac:dyDescent="0.25">
      <c r="A1261" s="5">
        <v>1.25</v>
      </c>
      <c r="B1261" s="5">
        <f>E1243</f>
        <v>2.5</v>
      </c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  <c r="O1261" s="5"/>
      <c r="P1261" s="5"/>
      <c r="Q1261" s="5"/>
      <c r="U1261">
        <f>A1267</f>
        <v>1.25</v>
      </c>
      <c r="V1261">
        <f>B1267</f>
        <v>3</v>
      </c>
    </row>
    <row r="1262" spans="1:22" x14ac:dyDescent="0.25">
      <c r="A1262" s="5">
        <v>1.25</v>
      </c>
      <c r="B1262" s="5">
        <f>E1245</f>
        <v>4</v>
      </c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</row>
    <row r="1263" spans="1:22" x14ac:dyDescent="0.25">
      <c r="A1263" s="5">
        <v>0.75</v>
      </c>
      <c r="B1263" s="5">
        <f>E1245</f>
        <v>4</v>
      </c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  <c r="O1263" s="5"/>
      <c r="P1263" s="5"/>
      <c r="Q1263" s="5"/>
      <c r="U1263">
        <f>A1285</f>
        <v>1.75</v>
      </c>
      <c r="V1263">
        <f>B1285</f>
        <v>4</v>
      </c>
    </row>
    <row r="1264" spans="1:22" x14ac:dyDescent="0.25">
      <c r="A1264" s="5">
        <v>0.75</v>
      </c>
      <c r="B1264" s="5">
        <f>E1243</f>
        <v>2.5</v>
      </c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  <c r="O1264" s="5"/>
      <c r="P1264" s="5"/>
      <c r="Q1264" s="5"/>
      <c r="U1264">
        <f>A1286</f>
        <v>2.25</v>
      </c>
      <c r="V1264">
        <f>B1286</f>
        <v>4</v>
      </c>
    </row>
    <row r="1265" spans="1:22" x14ac:dyDescent="0.25">
      <c r="A1265" s="5"/>
      <c r="B1265" s="5"/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  <c r="O1265" s="5"/>
      <c r="P1265" s="5"/>
      <c r="Q1265" s="5"/>
    </row>
    <row r="1266" spans="1:22" x14ac:dyDescent="0.25">
      <c r="A1266" s="5">
        <v>0.75</v>
      </c>
      <c r="B1266" s="5">
        <f>E1244</f>
        <v>3</v>
      </c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U1266">
        <f>A1304</f>
        <v>2.75</v>
      </c>
      <c r="V1266">
        <f>B1304</f>
        <v>6</v>
      </c>
    </row>
    <row r="1267" spans="1:22" x14ac:dyDescent="0.25">
      <c r="A1267" s="5">
        <v>1.25</v>
      </c>
      <c r="B1267" s="5">
        <f>E1244</f>
        <v>3</v>
      </c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  <c r="O1267" s="5"/>
      <c r="P1267" s="5"/>
      <c r="Q1267" s="5"/>
      <c r="U1267">
        <f>A1305</f>
        <v>3.25</v>
      </c>
      <c r="V1267">
        <f>B1305</f>
        <v>6</v>
      </c>
    </row>
    <row r="1268" spans="1:22" x14ac:dyDescent="0.25">
      <c r="A1268" s="5"/>
      <c r="B1268" s="5"/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  <c r="O1268" s="5"/>
      <c r="P1268" s="5"/>
      <c r="Q1268" s="5"/>
    </row>
    <row r="1269" spans="1:22" x14ac:dyDescent="0.25">
      <c r="A1269" s="5">
        <v>0.87</v>
      </c>
      <c r="B1269" s="5">
        <f>E1249</f>
        <v>1</v>
      </c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  <c r="O1269" s="5"/>
      <c r="P1269" s="5"/>
      <c r="Q1269" s="5"/>
      <c r="U1269">
        <f>A1323</f>
        <v>3.75</v>
      </c>
      <c r="V1269">
        <f>B1323</f>
        <v>4.5</v>
      </c>
    </row>
    <row r="1270" spans="1:22" x14ac:dyDescent="0.25">
      <c r="A1270" s="5">
        <v>1.1299999999999999</v>
      </c>
      <c r="B1270" s="5">
        <f>E1249</f>
        <v>1</v>
      </c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U1270">
        <f>A1324</f>
        <v>4.25</v>
      </c>
      <c r="V1270">
        <f>B1324</f>
        <v>4.5</v>
      </c>
    </row>
    <row r="1271" spans="1:22" x14ac:dyDescent="0.25">
      <c r="A1271" s="5">
        <v>1</v>
      </c>
      <c r="B1271" s="5">
        <f>E1249</f>
        <v>1</v>
      </c>
      <c r="C1271" s="5"/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  <c r="O1271" s="5"/>
      <c r="P1271" s="5"/>
      <c r="Q1271" s="5"/>
    </row>
    <row r="1272" spans="1:22" x14ac:dyDescent="0.25">
      <c r="A1272" s="5">
        <v>1</v>
      </c>
      <c r="B1272" s="5">
        <f>E1243</f>
        <v>2.5</v>
      </c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  <c r="O1272" s="5"/>
      <c r="P1272" s="5"/>
      <c r="Q1272" s="5"/>
      <c r="U1272">
        <f>A1342</f>
        <v>4.75</v>
      </c>
      <c r="V1272">
        <f>B1342</f>
        <v>4.5</v>
      </c>
    </row>
    <row r="1273" spans="1:22" x14ac:dyDescent="0.25">
      <c r="A1273" s="5"/>
      <c r="B1273" s="5"/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  <c r="O1273" s="5"/>
      <c r="P1273" s="5"/>
      <c r="Q1273" s="5"/>
      <c r="U1273">
        <f>A1343</f>
        <v>5.25</v>
      </c>
      <c r="V1273">
        <f>B1343</f>
        <v>4.5</v>
      </c>
    </row>
    <row r="1274" spans="1:22" x14ac:dyDescent="0.25">
      <c r="A1274" s="5">
        <v>1</v>
      </c>
      <c r="B1274" s="5">
        <f>E1245</f>
        <v>4</v>
      </c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</row>
    <row r="1275" spans="1:22" x14ac:dyDescent="0.25">
      <c r="A1275" s="5">
        <v>1</v>
      </c>
      <c r="B1275" s="5">
        <f>E1250</f>
        <v>6</v>
      </c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  <c r="O1275" s="5"/>
      <c r="P1275" s="5"/>
      <c r="Q1275" s="5"/>
    </row>
    <row r="1276" spans="1:22" x14ac:dyDescent="0.25">
      <c r="A1276" s="5">
        <v>0.87</v>
      </c>
      <c r="B1276" s="5">
        <f>E1250</f>
        <v>6</v>
      </c>
      <c r="C1276" s="5"/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5"/>
      <c r="O1276" s="5"/>
      <c r="P1276" s="5"/>
      <c r="Q1276" s="5"/>
    </row>
    <row r="1277" spans="1:22" x14ac:dyDescent="0.25">
      <c r="A1277" s="5">
        <v>1.1299999999999999</v>
      </c>
      <c r="B1277" s="5">
        <f>E1250</f>
        <v>6</v>
      </c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  <c r="O1277" s="5"/>
      <c r="P1277" s="5"/>
      <c r="Q1277" s="5"/>
    </row>
    <row r="1278" spans="1:22" x14ac:dyDescent="0.25">
      <c r="A1278" s="5"/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</row>
    <row r="1279" spans="1:22" x14ac:dyDescent="0.25">
      <c r="A1279" s="5">
        <v>1.75</v>
      </c>
      <c r="B1279" s="5">
        <f>F1243</f>
        <v>1.75</v>
      </c>
      <c r="C1279" s="5"/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  <c r="O1279" s="5"/>
      <c r="P1279" s="5"/>
      <c r="Q1279" s="5"/>
    </row>
    <row r="1280" spans="1:22" x14ac:dyDescent="0.25">
      <c r="A1280" s="5">
        <v>2.25</v>
      </c>
      <c r="B1280" s="5">
        <f>F1243</f>
        <v>1.75</v>
      </c>
      <c r="C1280" s="5"/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  <c r="O1280" s="5"/>
      <c r="P1280" s="5"/>
      <c r="Q1280" s="5"/>
    </row>
    <row r="1281" spans="1:17" x14ac:dyDescent="0.25">
      <c r="A1281" s="5">
        <v>2.25</v>
      </c>
      <c r="B1281" s="5">
        <f>F1245</f>
        <v>6</v>
      </c>
      <c r="C1281" s="5"/>
      <c r="D1281" s="5"/>
      <c r="E1281" s="5"/>
      <c r="F1281" s="5"/>
      <c r="G1281" s="5"/>
      <c r="H1281" s="5"/>
      <c r="I1281" s="5"/>
      <c r="J1281" s="5"/>
      <c r="K1281" s="5"/>
      <c r="L1281" s="5"/>
      <c r="M1281" s="5"/>
      <c r="N1281" s="5"/>
      <c r="O1281" s="5"/>
      <c r="P1281" s="5"/>
      <c r="Q1281" s="5"/>
    </row>
    <row r="1282" spans="1:17" x14ac:dyDescent="0.25">
      <c r="A1282" s="5">
        <v>1.75</v>
      </c>
      <c r="B1282" s="5">
        <f>F1245</f>
        <v>6</v>
      </c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</row>
    <row r="1283" spans="1:17" x14ac:dyDescent="0.25">
      <c r="A1283" s="5">
        <v>1.75</v>
      </c>
      <c r="B1283" s="5">
        <f>F1243</f>
        <v>1.75</v>
      </c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  <c r="O1283" s="5"/>
      <c r="P1283" s="5"/>
      <c r="Q1283" s="5"/>
    </row>
    <row r="1284" spans="1:17" x14ac:dyDescent="0.25">
      <c r="A1284" s="5"/>
      <c r="B1284" s="5"/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  <c r="O1284" s="5"/>
      <c r="P1284" s="5"/>
      <c r="Q1284" s="5"/>
    </row>
    <row r="1285" spans="1:17" x14ac:dyDescent="0.25">
      <c r="A1285" s="5">
        <v>1.75</v>
      </c>
      <c r="B1285" s="5">
        <f>F1244</f>
        <v>4</v>
      </c>
      <c r="C1285" s="5"/>
      <c r="D1285" s="5"/>
      <c r="E1285" s="5"/>
      <c r="F1285" s="5"/>
      <c r="G1285" s="5"/>
      <c r="H1285" s="5"/>
      <c r="I1285" s="5"/>
      <c r="J1285" s="5"/>
      <c r="K1285" s="5"/>
      <c r="L1285" s="5"/>
      <c r="M1285" s="5"/>
      <c r="N1285" s="5"/>
      <c r="O1285" s="5"/>
      <c r="P1285" s="5"/>
      <c r="Q1285" s="5"/>
    </row>
    <row r="1286" spans="1:17" x14ac:dyDescent="0.25">
      <c r="A1286" s="5">
        <v>2.25</v>
      </c>
      <c r="B1286" s="5">
        <f>F1244</f>
        <v>4</v>
      </c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  <c r="Q1286" s="5"/>
    </row>
    <row r="1287" spans="1:17" x14ac:dyDescent="0.25">
      <c r="A1287" s="5"/>
      <c r="B1287" s="5"/>
      <c r="C1287" s="5"/>
      <c r="D1287" s="5"/>
      <c r="E1287" s="5"/>
      <c r="F1287" s="5"/>
      <c r="G1287" s="5"/>
      <c r="H1287" s="5"/>
      <c r="I1287" s="5"/>
      <c r="J1287" s="5"/>
      <c r="K1287" s="5"/>
      <c r="L1287" s="5"/>
      <c r="M1287" s="5"/>
      <c r="N1287" s="5"/>
      <c r="O1287" s="5"/>
      <c r="P1287" s="5"/>
      <c r="Q1287" s="5"/>
    </row>
    <row r="1288" spans="1:17" x14ac:dyDescent="0.25">
      <c r="A1288" s="5">
        <v>1.87</v>
      </c>
      <c r="B1288" s="5">
        <f>F1249</f>
        <v>0</v>
      </c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  <c r="O1288" s="5"/>
      <c r="P1288" s="5"/>
      <c r="Q1288" s="5"/>
    </row>
    <row r="1289" spans="1:17" x14ac:dyDescent="0.25">
      <c r="A1289" s="5">
        <v>2.13</v>
      </c>
      <c r="B1289" s="5">
        <f>F1249</f>
        <v>0</v>
      </c>
      <c r="C1289" s="5"/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  <c r="O1289" s="5"/>
      <c r="P1289" s="5"/>
      <c r="Q1289" s="5"/>
    </row>
    <row r="1290" spans="1:17" x14ac:dyDescent="0.25">
      <c r="A1290" s="5">
        <v>2</v>
      </c>
      <c r="B1290" s="5">
        <f>F1249</f>
        <v>0</v>
      </c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</row>
    <row r="1291" spans="1:17" x14ac:dyDescent="0.25">
      <c r="A1291" s="5">
        <v>2</v>
      </c>
      <c r="B1291" s="5">
        <f>F1243</f>
        <v>1.75</v>
      </c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  <c r="O1291" s="5"/>
      <c r="P1291" s="5"/>
      <c r="Q1291" s="5"/>
    </row>
    <row r="1292" spans="1:17" x14ac:dyDescent="0.25">
      <c r="A1292" s="5"/>
      <c r="B1292" s="5"/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5"/>
      <c r="O1292" s="5"/>
      <c r="P1292" s="5"/>
      <c r="Q1292" s="5"/>
    </row>
    <row r="1293" spans="1:17" x14ac:dyDescent="0.25">
      <c r="A1293" s="5">
        <v>2</v>
      </c>
      <c r="B1293" s="5">
        <f>F1245</f>
        <v>6</v>
      </c>
      <c r="C1293" s="5"/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  <c r="O1293" s="5"/>
      <c r="P1293" s="5"/>
      <c r="Q1293" s="5"/>
    </row>
    <row r="1294" spans="1:17" x14ac:dyDescent="0.25">
      <c r="A1294" s="5">
        <v>2</v>
      </c>
      <c r="B1294" s="5">
        <f>F1250</f>
        <v>8</v>
      </c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  <c r="O1294" s="5"/>
      <c r="P1294" s="5"/>
      <c r="Q1294" s="5"/>
    </row>
    <row r="1295" spans="1:17" x14ac:dyDescent="0.25">
      <c r="A1295" s="5">
        <v>1.87</v>
      </c>
      <c r="B1295" s="5">
        <f>F1250</f>
        <v>8</v>
      </c>
      <c r="C1295" s="5"/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5"/>
      <c r="O1295" s="5"/>
      <c r="P1295" s="5"/>
      <c r="Q1295" s="5"/>
    </row>
    <row r="1296" spans="1:17" x14ac:dyDescent="0.25">
      <c r="A1296" s="5">
        <v>2.13</v>
      </c>
      <c r="B1296" s="5">
        <f>F1250</f>
        <v>8</v>
      </c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  <c r="O1296" s="5"/>
      <c r="P1296" s="5"/>
      <c r="Q1296" s="5"/>
    </row>
    <row r="1297" spans="1:17" x14ac:dyDescent="0.25">
      <c r="A1297" s="5"/>
      <c r="B1297" s="5"/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5"/>
      <c r="O1297" s="5"/>
      <c r="P1297" s="5"/>
      <c r="Q1297" s="5"/>
    </row>
    <row r="1298" spans="1:17" x14ac:dyDescent="0.25">
      <c r="A1298" s="5">
        <v>2.75</v>
      </c>
      <c r="B1298" s="5">
        <f>G1243</f>
        <v>5</v>
      </c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</row>
    <row r="1299" spans="1:17" x14ac:dyDescent="0.25">
      <c r="A1299" s="5">
        <v>3.25</v>
      </c>
      <c r="B1299" s="5">
        <f>G1243</f>
        <v>5</v>
      </c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  <c r="O1299" s="5"/>
      <c r="P1299" s="5"/>
      <c r="Q1299" s="5"/>
    </row>
    <row r="1300" spans="1:17" x14ac:dyDescent="0.25">
      <c r="A1300" s="5">
        <v>3.25</v>
      </c>
      <c r="B1300" s="5">
        <f>G1245</f>
        <v>7</v>
      </c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  <c r="O1300" s="5"/>
      <c r="P1300" s="5"/>
      <c r="Q1300" s="5"/>
    </row>
    <row r="1301" spans="1:17" x14ac:dyDescent="0.25">
      <c r="A1301" s="5">
        <v>2.75</v>
      </c>
      <c r="B1301" s="5">
        <f>G1245</f>
        <v>7</v>
      </c>
      <c r="C1301" s="5"/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5"/>
      <c r="O1301" s="5"/>
      <c r="P1301" s="5"/>
      <c r="Q1301" s="5"/>
    </row>
    <row r="1302" spans="1:17" x14ac:dyDescent="0.25">
      <c r="A1302" s="5">
        <v>2.75</v>
      </c>
      <c r="B1302" s="5">
        <f>G1243</f>
        <v>5</v>
      </c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</row>
    <row r="1303" spans="1:17" x14ac:dyDescent="0.25">
      <c r="A1303" s="5"/>
      <c r="B1303" s="5"/>
      <c r="C1303" s="5"/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  <c r="O1303" s="5"/>
      <c r="P1303" s="5"/>
      <c r="Q1303" s="5"/>
    </row>
    <row r="1304" spans="1:17" x14ac:dyDescent="0.25">
      <c r="A1304" s="5">
        <v>2.75</v>
      </c>
      <c r="B1304" s="5">
        <f>G1244</f>
        <v>6</v>
      </c>
      <c r="C1304" s="5"/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  <c r="O1304" s="5"/>
      <c r="P1304" s="5"/>
      <c r="Q1304" s="5"/>
    </row>
    <row r="1305" spans="1:17" x14ac:dyDescent="0.25">
      <c r="A1305" s="5">
        <v>3.25</v>
      </c>
      <c r="B1305" s="5">
        <f>G1244</f>
        <v>6</v>
      </c>
      <c r="C1305" s="5"/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5"/>
      <c r="O1305" s="5"/>
      <c r="P1305" s="5"/>
      <c r="Q1305" s="5"/>
    </row>
    <row r="1306" spans="1:17" x14ac:dyDescent="0.25">
      <c r="A1306" s="5"/>
      <c r="B1306" s="5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</row>
    <row r="1307" spans="1:17" x14ac:dyDescent="0.25">
      <c r="A1307" s="5">
        <v>2.87</v>
      </c>
      <c r="B1307" s="5">
        <f>G1249</f>
        <v>4</v>
      </c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  <c r="O1307" s="5"/>
      <c r="P1307" s="5"/>
      <c r="Q1307" s="5"/>
    </row>
    <row r="1308" spans="1:17" x14ac:dyDescent="0.25">
      <c r="A1308" s="5">
        <v>3.13</v>
      </c>
      <c r="B1308" s="5">
        <f>G1249</f>
        <v>4</v>
      </c>
      <c r="C1308" s="5"/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5"/>
      <c r="O1308" s="5"/>
      <c r="P1308" s="5"/>
      <c r="Q1308" s="5"/>
    </row>
    <row r="1309" spans="1:17" x14ac:dyDescent="0.25">
      <c r="A1309" s="5">
        <v>3</v>
      </c>
      <c r="B1309" s="5">
        <f>G1249</f>
        <v>4</v>
      </c>
      <c r="C1309" s="5"/>
      <c r="D1309" s="5"/>
      <c r="E1309" s="5"/>
      <c r="F1309" s="5"/>
      <c r="G1309" s="5"/>
      <c r="H1309" s="5"/>
      <c r="I1309" s="5"/>
      <c r="J1309" s="5"/>
      <c r="K1309" s="5"/>
      <c r="L1309" s="5"/>
      <c r="M1309" s="5"/>
      <c r="N1309" s="5"/>
      <c r="O1309" s="5"/>
      <c r="P1309" s="5"/>
      <c r="Q1309" s="5"/>
    </row>
    <row r="1310" spans="1:17" x14ac:dyDescent="0.25">
      <c r="A1310" s="5">
        <v>3</v>
      </c>
      <c r="B1310" s="5">
        <f>G1243</f>
        <v>5</v>
      </c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</row>
    <row r="1311" spans="1:17" x14ac:dyDescent="0.25">
      <c r="A1311" s="5"/>
      <c r="B1311" s="5"/>
      <c r="C1311" s="5"/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5"/>
      <c r="O1311" s="5"/>
      <c r="P1311" s="5"/>
      <c r="Q1311" s="5"/>
    </row>
    <row r="1312" spans="1:17" x14ac:dyDescent="0.25">
      <c r="A1312" s="5">
        <v>3</v>
      </c>
      <c r="B1312" s="5">
        <f>G1245</f>
        <v>7</v>
      </c>
      <c r="C1312" s="5"/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  <c r="O1312" s="5"/>
      <c r="P1312" s="5"/>
      <c r="Q1312" s="5"/>
    </row>
    <row r="1313" spans="1:17" x14ac:dyDescent="0.25">
      <c r="A1313" s="5">
        <v>3</v>
      </c>
      <c r="B1313" s="5">
        <f>G1250</f>
        <v>9</v>
      </c>
      <c r="C1313" s="5"/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  <c r="O1313" s="5"/>
      <c r="P1313" s="5"/>
      <c r="Q1313" s="5"/>
    </row>
    <row r="1314" spans="1:17" x14ac:dyDescent="0.25">
      <c r="A1314" s="5">
        <v>2.87</v>
      </c>
      <c r="B1314" s="5">
        <f>G1250</f>
        <v>9</v>
      </c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5"/>
      <c r="Q1314" s="5"/>
    </row>
    <row r="1315" spans="1:17" x14ac:dyDescent="0.25">
      <c r="A1315" s="5">
        <v>3.13</v>
      </c>
      <c r="B1315" s="5">
        <f>G1250</f>
        <v>9</v>
      </c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  <c r="O1315" s="5"/>
      <c r="P1315" s="5"/>
      <c r="Q1315" s="5"/>
    </row>
    <row r="1316" spans="1:17" x14ac:dyDescent="0.25">
      <c r="A1316" s="5"/>
      <c r="B1316" s="5"/>
      <c r="C1316" s="5"/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  <c r="O1316" s="5"/>
      <c r="P1316" s="5"/>
      <c r="Q1316" s="5"/>
    </row>
    <row r="1317" spans="1:17" x14ac:dyDescent="0.25">
      <c r="A1317" s="5">
        <v>3.75</v>
      </c>
      <c r="B1317" s="5">
        <f>H1243</f>
        <v>3</v>
      </c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  <c r="O1317" s="5"/>
      <c r="P1317" s="5"/>
      <c r="Q1317" s="5"/>
    </row>
    <row r="1318" spans="1:17" x14ac:dyDescent="0.25">
      <c r="A1318" s="5">
        <v>4.25</v>
      </c>
      <c r="B1318" s="5">
        <f>H1243</f>
        <v>3</v>
      </c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  <c r="Q1318" s="5"/>
    </row>
    <row r="1319" spans="1:17" x14ac:dyDescent="0.25">
      <c r="A1319" s="5">
        <v>4.25</v>
      </c>
      <c r="B1319" s="5">
        <f>H1245</f>
        <v>6</v>
      </c>
      <c r="C1319" s="5"/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  <c r="O1319" s="5"/>
      <c r="P1319" s="5"/>
      <c r="Q1319" s="5"/>
    </row>
    <row r="1320" spans="1:17" x14ac:dyDescent="0.25">
      <c r="A1320" s="5">
        <v>3.75</v>
      </c>
      <c r="B1320" s="5">
        <f>H1245</f>
        <v>6</v>
      </c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  <c r="O1320" s="5"/>
      <c r="P1320" s="5"/>
      <c r="Q1320" s="5"/>
    </row>
    <row r="1321" spans="1:17" x14ac:dyDescent="0.25">
      <c r="A1321" s="5">
        <v>3.75</v>
      </c>
      <c r="B1321" s="5">
        <f>H1243</f>
        <v>3</v>
      </c>
      <c r="C1321" s="5"/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  <c r="O1321" s="5"/>
      <c r="P1321" s="5"/>
      <c r="Q1321" s="5"/>
    </row>
    <row r="1322" spans="1:17" x14ac:dyDescent="0.25">
      <c r="A1322" s="5"/>
      <c r="B1322" s="5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</row>
    <row r="1323" spans="1:17" x14ac:dyDescent="0.25">
      <c r="A1323" s="5">
        <v>3.75</v>
      </c>
      <c r="B1323" s="5">
        <f>H1244</f>
        <v>4.5</v>
      </c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  <c r="O1323" s="5"/>
      <c r="P1323" s="5"/>
      <c r="Q1323" s="5"/>
    </row>
    <row r="1324" spans="1:17" x14ac:dyDescent="0.25">
      <c r="A1324" s="5">
        <v>4.25</v>
      </c>
      <c r="B1324" s="5">
        <f>H1244</f>
        <v>4.5</v>
      </c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  <c r="O1324" s="5"/>
      <c r="P1324" s="5"/>
      <c r="Q1324" s="5"/>
    </row>
    <row r="1325" spans="1:17" x14ac:dyDescent="0.25">
      <c r="A1325" s="5"/>
      <c r="B1325" s="5"/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  <c r="O1325" s="5"/>
      <c r="P1325" s="5"/>
      <c r="Q1325" s="5"/>
    </row>
    <row r="1326" spans="1:17" x14ac:dyDescent="0.25">
      <c r="A1326" s="5">
        <v>3.87</v>
      </c>
      <c r="B1326" s="5">
        <f>H1249</f>
        <v>0</v>
      </c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  <c r="Q1326" s="5"/>
    </row>
    <row r="1327" spans="1:17" x14ac:dyDescent="0.25">
      <c r="A1327" s="5">
        <v>4.13</v>
      </c>
      <c r="B1327" s="5">
        <f>H1249</f>
        <v>0</v>
      </c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  <c r="O1327" s="5"/>
      <c r="P1327" s="5"/>
      <c r="Q1327" s="5"/>
    </row>
    <row r="1328" spans="1:17" x14ac:dyDescent="0.25">
      <c r="A1328" s="5">
        <v>4</v>
      </c>
      <c r="B1328" s="5">
        <f>H1249</f>
        <v>0</v>
      </c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  <c r="O1328" s="5"/>
      <c r="P1328" s="5"/>
      <c r="Q1328" s="5"/>
    </row>
    <row r="1329" spans="1:17" x14ac:dyDescent="0.25">
      <c r="A1329" s="5">
        <v>4</v>
      </c>
      <c r="B1329" s="5">
        <f>H1243</f>
        <v>3</v>
      </c>
      <c r="C1329" s="5"/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5"/>
      <c r="O1329" s="5"/>
      <c r="P1329" s="5"/>
      <c r="Q1329" s="5"/>
    </row>
    <row r="1330" spans="1:17" x14ac:dyDescent="0.25">
      <c r="A1330" s="5"/>
      <c r="B1330" s="5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  <c r="Q1330" s="5"/>
    </row>
    <row r="1331" spans="1:17" x14ac:dyDescent="0.25">
      <c r="A1331" s="5">
        <v>4</v>
      </c>
      <c r="B1331" s="5">
        <f>H1245</f>
        <v>6</v>
      </c>
      <c r="C1331" s="5"/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  <c r="O1331" s="5"/>
      <c r="P1331" s="5"/>
      <c r="Q1331" s="5"/>
    </row>
    <row r="1332" spans="1:17" x14ac:dyDescent="0.25">
      <c r="A1332" s="5">
        <v>4</v>
      </c>
      <c r="B1332" s="5">
        <f>H1250</f>
        <v>10</v>
      </c>
      <c r="C1332" s="5"/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  <c r="O1332" s="5"/>
      <c r="P1332" s="5"/>
      <c r="Q1332" s="5"/>
    </row>
    <row r="1333" spans="1:17" x14ac:dyDescent="0.25">
      <c r="A1333" s="5">
        <v>3.87</v>
      </c>
      <c r="B1333" s="5">
        <f>H1250</f>
        <v>10</v>
      </c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  <c r="O1333" s="5"/>
      <c r="P1333" s="5"/>
      <c r="Q1333" s="5"/>
    </row>
    <row r="1334" spans="1:17" x14ac:dyDescent="0.25">
      <c r="A1334" s="5">
        <v>4.13</v>
      </c>
      <c r="B1334" s="5">
        <f>H1250</f>
        <v>10</v>
      </c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</row>
    <row r="1335" spans="1:17" x14ac:dyDescent="0.25">
      <c r="A1335" s="5"/>
      <c r="B1335" s="5"/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  <c r="O1335" s="5"/>
      <c r="P1335" s="5"/>
      <c r="Q1335" s="5"/>
    </row>
    <row r="1336" spans="1:17" x14ac:dyDescent="0.25">
      <c r="A1336" s="5">
        <v>4.75</v>
      </c>
      <c r="B1336" s="5">
        <f>I1243</f>
        <v>3.25</v>
      </c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  <c r="O1336" s="5"/>
      <c r="P1336" s="5"/>
      <c r="Q1336" s="5"/>
    </row>
    <row r="1337" spans="1:17" x14ac:dyDescent="0.25">
      <c r="A1337" s="5">
        <v>5.25</v>
      </c>
      <c r="B1337" s="5">
        <f>I1243</f>
        <v>3.25</v>
      </c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  <c r="O1337" s="5"/>
      <c r="P1337" s="5"/>
      <c r="Q1337" s="5"/>
    </row>
    <row r="1338" spans="1:17" x14ac:dyDescent="0.25">
      <c r="A1338" s="5">
        <v>5.25</v>
      </c>
      <c r="B1338" s="5">
        <f>I1245</f>
        <v>5.75</v>
      </c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</row>
    <row r="1339" spans="1:17" x14ac:dyDescent="0.25">
      <c r="A1339" s="5">
        <v>4.75</v>
      </c>
      <c r="B1339" s="5">
        <f>I1245</f>
        <v>5.75</v>
      </c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  <c r="O1339" s="5"/>
      <c r="P1339" s="5"/>
      <c r="Q1339" s="5"/>
    </row>
    <row r="1340" spans="1:17" x14ac:dyDescent="0.25">
      <c r="A1340" s="5">
        <v>4.75</v>
      </c>
      <c r="B1340" s="5">
        <f>I1243</f>
        <v>3.25</v>
      </c>
      <c r="C1340" s="5"/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5"/>
      <c r="O1340" s="5"/>
      <c r="P1340" s="5"/>
      <c r="Q1340" s="5"/>
    </row>
    <row r="1341" spans="1:17" x14ac:dyDescent="0.25">
      <c r="A1341" s="5"/>
      <c r="B1341" s="5"/>
      <c r="C1341" s="5"/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  <c r="O1341" s="5"/>
      <c r="P1341" s="5"/>
      <c r="Q1341" s="5"/>
    </row>
    <row r="1342" spans="1:17" x14ac:dyDescent="0.25">
      <c r="A1342" s="5">
        <v>4.75</v>
      </c>
      <c r="B1342" s="5">
        <f>I1244</f>
        <v>4.5</v>
      </c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</row>
    <row r="1343" spans="1:17" x14ac:dyDescent="0.25">
      <c r="A1343" s="5">
        <v>5.25</v>
      </c>
      <c r="B1343" s="5">
        <f>I1244</f>
        <v>4.5</v>
      </c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  <c r="O1343" s="5"/>
      <c r="P1343" s="5"/>
      <c r="Q1343" s="5"/>
    </row>
    <row r="1344" spans="1:17" x14ac:dyDescent="0.25">
      <c r="A1344" s="5"/>
      <c r="B1344" s="5"/>
      <c r="C1344" s="5"/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5"/>
      <c r="O1344" s="5"/>
      <c r="P1344" s="5"/>
      <c r="Q1344" s="5"/>
    </row>
    <row r="1345" spans="1:17" x14ac:dyDescent="0.25">
      <c r="A1345" s="5">
        <v>4.87</v>
      </c>
      <c r="B1345" s="5">
        <f>I1249</f>
        <v>2</v>
      </c>
      <c r="C1345" s="5"/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  <c r="O1345" s="5"/>
      <c r="P1345" s="5"/>
      <c r="Q1345" s="5"/>
    </row>
    <row r="1346" spans="1:17" x14ac:dyDescent="0.25">
      <c r="A1346" s="5">
        <v>5.13</v>
      </c>
      <c r="B1346" s="5">
        <f>I1249</f>
        <v>2</v>
      </c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5"/>
      <c r="Q1346" s="5"/>
    </row>
    <row r="1347" spans="1:17" x14ac:dyDescent="0.25">
      <c r="A1347" s="5">
        <v>5</v>
      </c>
      <c r="B1347" s="5">
        <f>I1249</f>
        <v>2</v>
      </c>
      <c r="C1347" s="5"/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  <c r="O1347" s="5"/>
      <c r="P1347" s="5"/>
      <c r="Q1347" s="5"/>
    </row>
    <row r="1348" spans="1:17" x14ac:dyDescent="0.25">
      <c r="A1348" s="5">
        <v>5</v>
      </c>
      <c r="B1348" s="5">
        <f>I1243</f>
        <v>3.25</v>
      </c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  <c r="O1348" s="5"/>
      <c r="P1348" s="5"/>
      <c r="Q1348" s="5"/>
    </row>
    <row r="1349" spans="1:17" x14ac:dyDescent="0.25">
      <c r="A1349" s="5"/>
      <c r="B1349" s="5"/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  <c r="O1349" s="5"/>
      <c r="P1349" s="5"/>
      <c r="Q1349" s="5"/>
    </row>
    <row r="1350" spans="1:17" x14ac:dyDescent="0.25">
      <c r="A1350" s="5">
        <v>5</v>
      </c>
      <c r="B1350" s="5">
        <f>I1245</f>
        <v>5.75</v>
      </c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</row>
    <row r="1351" spans="1:17" x14ac:dyDescent="0.25">
      <c r="A1351" s="5">
        <v>5</v>
      </c>
      <c r="B1351" s="5">
        <f>I1250</f>
        <v>8</v>
      </c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  <c r="O1351" s="5"/>
      <c r="P1351" s="5"/>
      <c r="Q1351" s="5"/>
    </row>
    <row r="1352" spans="1:17" x14ac:dyDescent="0.25">
      <c r="A1352" s="5">
        <v>4.87</v>
      </c>
      <c r="B1352" s="5">
        <f>I1250</f>
        <v>8</v>
      </c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  <c r="O1352" s="5"/>
      <c r="P1352" s="5"/>
      <c r="Q1352" s="5"/>
    </row>
    <row r="1353" spans="1:17" x14ac:dyDescent="0.25">
      <c r="A1353" s="5">
        <v>5.13</v>
      </c>
      <c r="B1353" s="5">
        <f>I1250</f>
        <v>8</v>
      </c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  <c r="O1353" s="5"/>
      <c r="P1353" s="5"/>
      <c r="Q1353" s="5"/>
    </row>
    <row r="1354" spans="1:17" x14ac:dyDescent="0.25">
      <c r="A1354" s="5"/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</row>
    <row r="1355" spans="1:17" x14ac:dyDescent="0.25">
      <c r="A1355" s="5"/>
      <c r="B1355" s="5"/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  <c r="O1355" s="5"/>
      <c r="P1355" s="5"/>
      <c r="Q1355" s="5"/>
    </row>
    <row r="1356" spans="1:17" x14ac:dyDescent="0.25">
      <c r="A1356" s="5"/>
      <c r="B1356" s="5"/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  <c r="O1356" s="5"/>
      <c r="P1356" s="5"/>
      <c r="Q1356" s="5"/>
    </row>
    <row r="1357" spans="1:17" x14ac:dyDescent="0.25">
      <c r="A1357" s="5"/>
      <c r="B1357" s="5"/>
      <c r="C1357" s="5"/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  <c r="O1357" s="5"/>
      <c r="P1357" s="5"/>
      <c r="Q1357" s="5"/>
    </row>
    <row r="1358" spans="1:17" x14ac:dyDescent="0.25">
      <c r="A1358" s="5"/>
      <c r="B1358" s="5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</row>
    <row r="1359" spans="1:17" x14ac:dyDescent="0.25">
      <c r="A1359" s="5"/>
      <c r="B1359" s="5"/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  <c r="O1359" s="5"/>
      <c r="P1359" s="5"/>
      <c r="Q1359" s="5"/>
    </row>
    <row r="1360" spans="1:17" x14ac:dyDescent="0.25">
      <c r="A1360" s="5"/>
      <c r="B1360" s="5"/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  <c r="O1360" s="5"/>
      <c r="P1360" s="5"/>
      <c r="Q1360" s="5"/>
    </row>
    <row r="1361" spans="1:17" x14ac:dyDescent="0.25">
      <c r="A1361" s="5"/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  <c r="O1361" s="5"/>
      <c r="P1361" s="5"/>
      <c r="Q1361" s="5"/>
    </row>
    <row r="1362" spans="1:17" x14ac:dyDescent="0.25">
      <c r="A1362" s="5"/>
      <c r="B1362" s="5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</row>
    <row r="1363" spans="1:17" x14ac:dyDescent="0.25">
      <c r="A1363" s="5"/>
      <c r="B1363" s="5"/>
      <c r="C1363" s="5"/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5"/>
      <c r="O1363" s="5"/>
      <c r="P1363" s="5"/>
      <c r="Q1363" s="5"/>
    </row>
    <row r="1364" spans="1:17" x14ac:dyDescent="0.25">
      <c r="A1364" s="5"/>
      <c r="B1364" s="5"/>
      <c r="C1364" s="5"/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5"/>
      <c r="O1364" s="5"/>
      <c r="P1364" s="5"/>
      <c r="Q1364" s="5"/>
    </row>
    <row r="1365" spans="1:17" x14ac:dyDescent="0.25">
      <c r="A1365" s="5"/>
      <c r="B1365" s="5"/>
      <c r="C1365" s="5"/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  <c r="O1365" s="5"/>
      <c r="P1365" s="5"/>
      <c r="Q1365" s="5"/>
    </row>
    <row r="1366" spans="1:17" x14ac:dyDescent="0.25">
      <c r="A1366" s="5"/>
      <c r="B1366" s="5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5"/>
      <c r="Q1366" s="5"/>
    </row>
    <row r="1367" spans="1:17" x14ac:dyDescent="0.25">
      <c r="A1367" s="5"/>
      <c r="B1367" s="5"/>
      <c r="C1367" s="5"/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/>
      <c r="O1367" s="5"/>
      <c r="P1367" s="5"/>
      <c r="Q1367" s="5"/>
    </row>
    <row r="1368" spans="1:17" x14ac:dyDescent="0.25">
      <c r="A1368" s="5"/>
      <c r="B1368" s="5"/>
      <c r="C1368" s="5"/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  <c r="O1368" s="5"/>
      <c r="P1368" s="5"/>
      <c r="Q1368" s="5"/>
    </row>
    <row r="1369" spans="1:17" x14ac:dyDescent="0.25">
      <c r="A1369" s="5"/>
      <c r="B1369" s="5"/>
      <c r="C1369" s="5"/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  <c r="O1369" s="5"/>
      <c r="P1369" s="5"/>
      <c r="Q1369" s="5"/>
    </row>
    <row r="1370" spans="1:17" x14ac:dyDescent="0.25">
      <c r="A1370" s="5"/>
      <c r="B1370" s="5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5"/>
      <c r="Q1370" s="5"/>
    </row>
    <row r="1371" spans="1:17" x14ac:dyDescent="0.25">
      <c r="A1371" s="5"/>
      <c r="B1371" s="5"/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  <c r="O1371" s="5"/>
      <c r="P1371" s="5"/>
      <c r="Q1371" s="5"/>
    </row>
    <row r="1372" spans="1:17" x14ac:dyDescent="0.25">
      <c r="A1372" s="5"/>
      <c r="B1372" s="5"/>
      <c r="C1372" s="5"/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  <c r="O1372" s="5"/>
      <c r="P1372" s="5"/>
      <c r="Q1372" s="5"/>
    </row>
    <row r="1373" spans="1:17" x14ac:dyDescent="0.25">
      <c r="A1373" s="5"/>
      <c r="B1373" s="5"/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  <c r="O1373" s="5"/>
      <c r="P1373" s="5"/>
      <c r="Q1373" s="5"/>
    </row>
    <row r="1374" spans="1:17" x14ac:dyDescent="0.25">
      <c r="A1374" s="5"/>
      <c r="B1374" s="5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</row>
    <row r="1375" spans="1:17" x14ac:dyDescent="0.25">
      <c r="A1375" s="5"/>
      <c r="B1375" s="5"/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5"/>
      <c r="N1375" s="5"/>
      <c r="O1375" s="5"/>
      <c r="P1375" s="5"/>
      <c r="Q1375" s="5"/>
    </row>
    <row r="1376" spans="1:17" x14ac:dyDescent="0.25">
      <c r="A1376" s="5"/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  <c r="O1376" s="5"/>
      <c r="P1376" s="5"/>
      <c r="Q1376" s="5"/>
    </row>
    <row r="1377" spans="1:17" x14ac:dyDescent="0.25">
      <c r="A1377" s="5"/>
      <c r="B1377" s="5"/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  <c r="O1377" s="5"/>
      <c r="P1377" s="5"/>
      <c r="Q1377" s="5"/>
    </row>
    <row r="1378" spans="1:17" x14ac:dyDescent="0.25">
      <c r="A1378" s="5"/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5"/>
      <c r="Q1378" s="5"/>
    </row>
    <row r="1379" spans="1:17" x14ac:dyDescent="0.25">
      <c r="A1379" s="5"/>
      <c r="B1379" s="5"/>
      <c r="C1379" s="5"/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  <c r="O1379" s="5"/>
      <c r="P1379" s="5"/>
      <c r="Q1379" s="5"/>
    </row>
    <row r="1380" spans="1:17" x14ac:dyDescent="0.25">
      <c r="A1380" s="5"/>
      <c r="B1380" s="5"/>
      <c r="C1380" s="5"/>
      <c r="D1380" s="5"/>
      <c r="E1380" s="5"/>
      <c r="F1380" s="5"/>
      <c r="G1380" s="5"/>
      <c r="H1380" s="5"/>
      <c r="I1380" s="5"/>
      <c r="J1380" s="5"/>
      <c r="K1380" s="5"/>
      <c r="L1380" s="5"/>
      <c r="M1380" s="5"/>
      <c r="N1380" s="5"/>
      <c r="O1380" s="5"/>
      <c r="P1380" s="5"/>
      <c r="Q1380" s="5"/>
    </row>
    <row r="1381" spans="1:17" x14ac:dyDescent="0.25">
      <c r="A1381" s="5"/>
      <c r="B1381" s="5"/>
      <c r="C1381" s="5"/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5"/>
      <c r="O1381" s="5"/>
      <c r="P1381" s="5"/>
      <c r="Q1381" s="5"/>
    </row>
    <row r="1382" spans="1:17" x14ac:dyDescent="0.25">
      <c r="A1382" s="5"/>
      <c r="B1382" s="5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5"/>
    </row>
    <row r="1383" spans="1:17" x14ac:dyDescent="0.25">
      <c r="A1383" s="5"/>
      <c r="B1383" s="5"/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  <c r="O1383" s="5"/>
      <c r="P1383" s="5"/>
      <c r="Q1383" s="5"/>
    </row>
    <row r="1384" spans="1:17" x14ac:dyDescent="0.25">
      <c r="A1384" s="5"/>
      <c r="B1384" s="5"/>
      <c r="C1384" s="5"/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  <c r="O1384" s="5"/>
      <c r="P1384" s="5"/>
      <c r="Q1384" s="5"/>
    </row>
    <row r="1385" spans="1:17" x14ac:dyDescent="0.25">
      <c r="A1385" s="5"/>
      <c r="B1385" s="5"/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  <c r="O1385" s="5"/>
      <c r="P1385" s="5"/>
      <c r="Q1385" s="5"/>
    </row>
    <row r="1386" spans="1:17" x14ac:dyDescent="0.25">
      <c r="A1386" s="5"/>
      <c r="B1386" s="5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5"/>
      <c r="Q1386" s="5"/>
    </row>
    <row r="1387" spans="1:17" x14ac:dyDescent="0.25">
      <c r="A1387" s="5"/>
      <c r="B1387" s="5"/>
      <c r="C1387" s="5"/>
      <c r="D1387" s="5"/>
      <c r="E1387" s="5"/>
      <c r="F1387" s="5"/>
      <c r="G1387" s="5"/>
      <c r="H1387" s="5"/>
      <c r="I1387" s="5"/>
      <c r="J1387" s="5"/>
      <c r="K1387" s="5"/>
      <c r="L1387" s="5"/>
      <c r="M1387" s="5"/>
      <c r="N1387" s="5"/>
      <c r="O1387" s="5"/>
      <c r="P1387" s="5"/>
      <c r="Q1387" s="5"/>
    </row>
    <row r="1388" spans="1:17" x14ac:dyDescent="0.25">
      <c r="A1388" s="5"/>
      <c r="B1388" s="5"/>
      <c r="C1388" s="5"/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5"/>
      <c r="O1388" s="5"/>
      <c r="P1388" s="5"/>
      <c r="Q1388" s="5"/>
    </row>
    <row r="1389" spans="1:17" x14ac:dyDescent="0.25">
      <c r="A1389" s="5"/>
      <c r="B1389" s="5"/>
      <c r="C1389" s="5"/>
      <c r="D1389" s="5"/>
      <c r="E1389" s="5"/>
      <c r="F1389" s="5"/>
      <c r="G1389" s="5"/>
      <c r="H1389" s="5"/>
      <c r="I1389" s="5"/>
      <c r="J1389" s="5"/>
      <c r="K1389" s="5"/>
      <c r="L1389" s="5"/>
      <c r="M1389" s="5"/>
      <c r="N1389" s="5"/>
      <c r="O1389" s="5"/>
      <c r="P1389" s="5"/>
      <c r="Q1389" s="5"/>
    </row>
    <row r="1390" spans="1:17" x14ac:dyDescent="0.25">
      <c r="A1390" s="6" t="s">
        <v>8</v>
      </c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5"/>
    </row>
    <row r="1391" spans="1:17" x14ac:dyDescent="0.25">
      <c r="A1391" s="5"/>
      <c r="B1391" s="5"/>
      <c r="C1391" s="5"/>
      <c r="D1391" s="5"/>
      <c r="E1391" s="5">
        <v>1</v>
      </c>
      <c r="F1391" s="5">
        <v>2</v>
      </c>
      <c r="G1391" s="5">
        <v>3</v>
      </c>
      <c r="H1391" s="5">
        <v>4</v>
      </c>
      <c r="I1391" s="5">
        <v>5</v>
      </c>
      <c r="J1391" s="5"/>
      <c r="K1391" s="5" t="s">
        <v>35</v>
      </c>
      <c r="L1391" s="5" t="s">
        <v>36</v>
      </c>
      <c r="M1391" s="5"/>
      <c r="N1391" s="5"/>
      <c r="O1391" s="5" t="s">
        <v>37</v>
      </c>
      <c r="P1391" s="5" t="s">
        <v>38</v>
      </c>
      <c r="Q1391" s="5"/>
    </row>
    <row r="1392" spans="1:17" x14ac:dyDescent="0.25">
      <c r="A1392" s="5" t="s">
        <v>39</v>
      </c>
      <c r="B1392" s="7">
        <f>COUNT(Данные!$I$2:$I$75)</f>
        <v>74</v>
      </c>
      <c r="C1392" s="5"/>
      <c r="D1392" s="5"/>
      <c r="E1392" s="5">
        <f>Данные!I2</f>
        <v>3</v>
      </c>
      <c r="F1392" s="5">
        <f>Данные!I3</f>
        <v>1</v>
      </c>
      <c r="G1392" s="5">
        <f>Данные!I22</f>
        <v>1</v>
      </c>
      <c r="H1392" s="5">
        <f>Данные!I21</f>
        <v>9</v>
      </c>
      <c r="I1392" s="5">
        <f>Данные!I61</f>
        <v>11</v>
      </c>
      <c r="J1392" s="5"/>
      <c r="K1392" s="5">
        <f>_xlfn.RANK.AVG(Данные!B2,Данные!$B$2:$B$75,1)</f>
        <v>4</v>
      </c>
      <c r="L1392" s="5">
        <f>_xlfn.RANK.AVG(Данные!I2,Данные!$I$2:$I$75,1)</f>
        <v>30</v>
      </c>
      <c r="M1392" s="5"/>
      <c r="N1392" s="5"/>
      <c r="O1392" s="5">
        <f>Данные!B2+(-0.105)</f>
        <v>0.89500000000000002</v>
      </c>
      <c r="P1392" s="5">
        <f>Данные!I2</f>
        <v>3</v>
      </c>
      <c r="Q1392" s="5"/>
    </row>
    <row r="1393" spans="1:17" x14ac:dyDescent="0.25">
      <c r="A1393" s="5" t="s">
        <v>40</v>
      </c>
      <c r="B1393" s="8">
        <f>CORREL(K1392:K1465,L1392:L1465)</f>
        <v>-0.1018290272044593</v>
      </c>
      <c r="C1393" s="5"/>
      <c r="D1393" s="5"/>
      <c r="E1393" s="5">
        <f>Данные!I6</f>
        <v>5</v>
      </c>
      <c r="F1393" s="5">
        <f>Данные!I4</f>
        <v>4</v>
      </c>
      <c r="G1393" s="5">
        <f>Данные!I23</f>
        <v>1</v>
      </c>
      <c r="H1393" s="5">
        <f>Данные!I31</f>
        <v>3</v>
      </c>
      <c r="I1393" s="5">
        <f>Данные!I67</f>
        <v>5</v>
      </c>
      <c r="J1393" s="5"/>
      <c r="K1393" s="5">
        <f>_xlfn.RANK.AVG(Данные!B3,Данные!$B$2:$B$75,1)</f>
        <v>13.5</v>
      </c>
      <c r="L1393" s="5">
        <f>_xlfn.RANK.AVG(Данные!I3,Данные!$I$2:$I$75,1)</f>
        <v>9</v>
      </c>
      <c r="M1393" s="5"/>
      <c r="N1393" s="5"/>
      <c r="O1393" s="5">
        <f>Данные!B3+(-0.105)</f>
        <v>1.895</v>
      </c>
      <c r="P1393" s="5">
        <f>Данные!I3</f>
        <v>1</v>
      </c>
      <c r="Q1393" s="5"/>
    </row>
    <row r="1394" spans="1:17" x14ac:dyDescent="0.25">
      <c r="A1394" s="5" t="s">
        <v>41</v>
      </c>
      <c r="B1394" s="8">
        <f>TDIST(ABS(B1393*SQRT((B1392-2)/(1-B1393^2))),B1392-2,2)</f>
        <v>0.38797231112120911</v>
      </c>
      <c r="C1394" s="5"/>
      <c r="D1394" s="5"/>
      <c r="E1394" s="5">
        <f>Данные!I7</f>
        <v>3</v>
      </c>
      <c r="F1394" s="5">
        <f>Данные!I5</f>
        <v>2</v>
      </c>
      <c r="G1394" s="5">
        <f>Данные!I24</f>
        <v>0</v>
      </c>
      <c r="H1394" s="5">
        <f>Данные!I36</f>
        <v>2</v>
      </c>
      <c r="I1394" s="5">
        <f>Данные!I68</f>
        <v>1</v>
      </c>
      <c r="J1394" s="5"/>
      <c r="K1394" s="5">
        <f>_xlfn.RANK.AVG(Данные!B4,Данные!$B$2:$B$75,1)</f>
        <v>13.5</v>
      </c>
      <c r="L1394" s="5">
        <f>_xlfn.RANK.AVG(Данные!I4,Данные!$I$2:$I$75,1)</f>
        <v>40</v>
      </c>
      <c r="M1394" s="5"/>
      <c r="N1394" s="5"/>
      <c r="O1394" s="5">
        <f>Данные!B4+(-0.105)</f>
        <v>1.895</v>
      </c>
      <c r="P1394" s="5">
        <f>Данные!I4</f>
        <v>4</v>
      </c>
      <c r="Q1394" s="5"/>
    </row>
    <row r="1395" spans="1:17" x14ac:dyDescent="0.25">
      <c r="A1395" s="5" t="s">
        <v>42</v>
      </c>
      <c r="B1395" s="8"/>
      <c r="C1395" s="5"/>
      <c r="D1395" s="5"/>
      <c r="E1395" s="5">
        <f>Данные!I8</f>
        <v>11</v>
      </c>
      <c r="F1395" s="5">
        <f>Данные!I9</f>
        <v>6</v>
      </c>
      <c r="G1395" s="5">
        <f>Данные!I25</f>
        <v>5</v>
      </c>
      <c r="H1395" s="5">
        <f>Данные!I39</f>
        <v>9</v>
      </c>
      <c r="I1395" s="5">
        <f>Данные!I71</f>
        <v>4</v>
      </c>
      <c r="J1395" s="5"/>
      <c r="K1395" s="5">
        <f>_xlfn.RANK.AVG(Данные!B5,Данные!$B$2:$B$75,1)</f>
        <v>13.5</v>
      </c>
      <c r="L1395" s="5">
        <f>_xlfn.RANK.AVG(Данные!I5,Данные!$I$2:$I$75,1)</f>
        <v>19</v>
      </c>
      <c r="M1395" s="5"/>
      <c r="N1395" s="5"/>
      <c r="O1395" s="5">
        <f>Данные!B5+(-0.105)</f>
        <v>1.895</v>
      </c>
      <c r="P1395" s="5">
        <f>Данные!I5</f>
        <v>2</v>
      </c>
      <c r="Q1395" s="5"/>
    </row>
    <row r="1396" spans="1:17" x14ac:dyDescent="0.25">
      <c r="A1396" s="5" t="s">
        <v>43</v>
      </c>
      <c r="B1396" s="8"/>
      <c r="C1396" s="5"/>
      <c r="D1396" s="5"/>
      <c r="E1396" s="5">
        <f>Данные!I11</f>
        <v>6</v>
      </c>
      <c r="F1396" s="5">
        <f>Данные!I10</f>
        <v>5</v>
      </c>
      <c r="G1396" s="5">
        <f>Данные!I26</f>
        <v>7</v>
      </c>
      <c r="H1396" s="5">
        <f>Данные!I41</f>
        <v>7</v>
      </c>
      <c r="I1396" s="5">
        <f>Данные!I72</f>
        <v>4</v>
      </c>
      <c r="J1396" s="5"/>
      <c r="K1396" s="5">
        <f>_xlfn.RANK.AVG(Данные!B6,Данные!$B$2:$B$75,1)</f>
        <v>4</v>
      </c>
      <c r="L1396" s="5">
        <f>_xlfn.RANK.AVG(Данные!I6,Данные!$I$2:$I$75,1)</f>
        <v>49</v>
      </c>
      <c r="M1396" s="5"/>
      <c r="N1396" s="5"/>
      <c r="O1396" s="5">
        <f>Данные!B6+(-0.105)</f>
        <v>0.89500000000000002</v>
      </c>
      <c r="P1396" s="5">
        <f>Данные!I6</f>
        <v>5</v>
      </c>
      <c r="Q1396" s="5"/>
    </row>
    <row r="1397" spans="1:17" x14ac:dyDescent="0.25">
      <c r="A1397" s="5" t="s">
        <v>44</v>
      </c>
      <c r="B1397" s="8"/>
      <c r="C1397" s="5"/>
      <c r="D1397" s="5"/>
      <c r="E1397" s="5">
        <f>Данные!I13</f>
        <v>2</v>
      </c>
      <c r="F1397" s="5">
        <f>Данные!I12</f>
        <v>6</v>
      </c>
      <c r="G1397" s="5">
        <f>Данные!I27</f>
        <v>6</v>
      </c>
      <c r="H1397" s="5">
        <f>Данные!I43</f>
        <v>4</v>
      </c>
      <c r="I1397" s="5">
        <f>Данные!I73</f>
        <v>8</v>
      </c>
      <c r="J1397" s="5"/>
      <c r="K1397" s="5">
        <f>_xlfn.RANK.AVG(Данные!B7,Данные!$B$2:$B$75,1)</f>
        <v>4</v>
      </c>
      <c r="L1397" s="5">
        <f>_xlfn.RANK.AVG(Данные!I7,Данные!$I$2:$I$75,1)</f>
        <v>30</v>
      </c>
      <c r="M1397" s="5"/>
      <c r="N1397" s="5"/>
      <c r="O1397" s="5">
        <f>Данные!B7+(-0.07)</f>
        <v>0.92999999999999994</v>
      </c>
      <c r="P1397" s="5">
        <f>Данные!I7</f>
        <v>3</v>
      </c>
      <c r="Q1397" s="5"/>
    </row>
    <row r="1398" spans="1:17" x14ac:dyDescent="0.25">
      <c r="A1398" s="5" t="s">
        <v>45</v>
      </c>
      <c r="B1398" s="8"/>
      <c r="C1398" s="5"/>
      <c r="D1398" s="5"/>
      <c r="E1398" s="5">
        <f>Данные!I14</f>
        <v>3</v>
      </c>
      <c r="F1398" s="5">
        <f>Данные!I15</f>
        <v>6</v>
      </c>
      <c r="G1398" s="5">
        <f>Данные!I28</f>
        <v>0</v>
      </c>
      <c r="H1398" s="5">
        <f>Данные!I46</f>
        <v>5</v>
      </c>
      <c r="I1398" s="5"/>
      <c r="J1398" s="5"/>
      <c r="K1398" s="5">
        <f>_xlfn.RANK.AVG(Данные!B8,Данные!$B$2:$B$75,1)</f>
        <v>4</v>
      </c>
      <c r="L1398" s="5">
        <f>_xlfn.RANK.AVG(Данные!I8,Данные!$I$2:$I$75,1)</f>
        <v>72.5</v>
      </c>
      <c r="M1398" s="5"/>
      <c r="N1398" s="5"/>
      <c r="O1398" s="5">
        <f>Данные!B8+(-0.105)</f>
        <v>0.89500000000000002</v>
      </c>
      <c r="P1398" s="5">
        <f>Данные!I8</f>
        <v>11</v>
      </c>
      <c r="Q1398" s="5"/>
    </row>
    <row r="1399" spans="1:17" x14ac:dyDescent="0.25">
      <c r="A1399" s="5" t="s">
        <v>46</v>
      </c>
      <c r="B1399" s="8"/>
      <c r="C1399" s="5"/>
      <c r="D1399" s="5"/>
      <c r="E1399" s="5"/>
      <c r="F1399" s="5">
        <f>Данные!I16</f>
        <v>9</v>
      </c>
      <c r="G1399" s="5">
        <f>Данные!I29</f>
        <v>3</v>
      </c>
      <c r="H1399" s="5">
        <f>Данные!I48</f>
        <v>2</v>
      </c>
      <c r="I1399" s="5"/>
      <c r="J1399" s="5"/>
      <c r="K1399" s="5">
        <f>_xlfn.RANK.AVG(Данные!B9,Данные!$B$2:$B$75,1)</f>
        <v>13.5</v>
      </c>
      <c r="L1399" s="5">
        <f>_xlfn.RANK.AVG(Данные!I9,Данные!$I$2:$I$75,1)</f>
        <v>56.5</v>
      </c>
      <c r="M1399" s="5"/>
      <c r="N1399" s="5"/>
      <c r="O1399" s="5">
        <f>Данные!B9+(-0.105)</f>
        <v>1.895</v>
      </c>
      <c r="P1399" s="5">
        <f>Данные!I9</f>
        <v>6</v>
      </c>
      <c r="Q1399" s="5"/>
    </row>
    <row r="1400" spans="1:17" x14ac:dyDescent="0.25">
      <c r="A1400" s="5" t="s">
        <v>47</v>
      </c>
      <c r="B1400" s="8"/>
      <c r="C1400" s="5"/>
      <c r="D1400" s="5"/>
      <c r="E1400" s="5"/>
      <c r="F1400" s="5">
        <f>Данные!I17</f>
        <v>4</v>
      </c>
      <c r="G1400" s="5">
        <f>Данные!I30</f>
        <v>2</v>
      </c>
      <c r="H1400" s="5">
        <f>Данные!I53</f>
        <v>12</v>
      </c>
      <c r="I1400" s="5"/>
      <c r="J1400" s="5"/>
      <c r="K1400" s="5">
        <f>_xlfn.RANK.AVG(Данные!B10,Данные!$B$2:$B$75,1)</f>
        <v>13.5</v>
      </c>
      <c r="L1400" s="5">
        <f>_xlfn.RANK.AVG(Данные!I10,Данные!$I$2:$I$75,1)</f>
        <v>49</v>
      </c>
      <c r="M1400" s="5"/>
      <c r="N1400" s="5"/>
      <c r="O1400" s="5">
        <f>Данные!B10+(-0.105)</f>
        <v>1.895</v>
      </c>
      <c r="P1400" s="5">
        <f>Данные!I10</f>
        <v>5</v>
      </c>
      <c r="Q1400" s="5"/>
    </row>
    <row r="1401" spans="1:17" x14ac:dyDescent="0.25">
      <c r="A1401" s="5" t="s">
        <v>48</v>
      </c>
      <c r="B1401" s="8"/>
      <c r="C1401" s="5"/>
      <c r="D1401" s="5"/>
      <c r="E1401" s="5"/>
      <c r="F1401" s="5">
        <f>Данные!I18</f>
        <v>5</v>
      </c>
      <c r="G1401" s="5">
        <f>Данные!I32</f>
        <v>7</v>
      </c>
      <c r="H1401" s="5">
        <f>Данные!I55</f>
        <v>4</v>
      </c>
      <c r="I1401" s="5"/>
      <c r="J1401" s="5"/>
      <c r="K1401" s="5">
        <f>_xlfn.RANK.AVG(Данные!B11,Данные!$B$2:$B$75,1)</f>
        <v>4</v>
      </c>
      <c r="L1401" s="5">
        <f>_xlfn.RANK.AVG(Данные!I11,Данные!$I$2:$I$75,1)</f>
        <v>56.5</v>
      </c>
      <c r="M1401" s="5"/>
      <c r="N1401" s="5"/>
      <c r="O1401" s="5">
        <f>Данные!B11+(-0.105)</f>
        <v>0.89500000000000002</v>
      </c>
      <c r="P1401" s="5">
        <f>Данные!I11</f>
        <v>6</v>
      </c>
      <c r="Q1401" s="5"/>
    </row>
    <row r="1402" spans="1:17" x14ac:dyDescent="0.25">
      <c r="A1402" s="5" t="s">
        <v>49</v>
      </c>
      <c r="B1402" s="8"/>
      <c r="C1402" s="5"/>
      <c r="D1402" s="5"/>
      <c r="E1402" s="5"/>
      <c r="F1402" s="5">
        <f>Данные!I19</f>
        <v>8</v>
      </c>
      <c r="G1402" s="5">
        <f>Данные!I33</f>
        <v>7</v>
      </c>
      <c r="H1402" s="5">
        <f>Данные!I56</f>
        <v>2</v>
      </c>
      <c r="I1402" s="5"/>
      <c r="J1402" s="5"/>
      <c r="K1402" s="5">
        <f>_xlfn.RANK.AVG(Данные!B12,Данные!$B$2:$B$75,1)</f>
        <v>13.5</v>
      </c>
      <c r="L1402" s="5">
        <f>_xlfn.RANK.AVG(Данные!I12,Данные!$I$2:$I$75,1)</f>
        <v>56.5</v>
      </c>
      <c r="M1402" s="5"/>
      <c r="N1402" s="5"/>
      <c r="O1402" s="5">
        <f>Данные!B12+(-0.07)</f>
        <v>1.93</v>
      </c>
      <c r="P1402" s="5">
        <f>Данные!I12</f>
        <v>6</v>
      </c>
      <c r="Q1402" s="5"/>
    </row>
    <row r="1403" spans="1:17" x14ac:dyDescent="0.25">
      <c r="A1403" s="5" t="s">
        <v>50</v>
      </c>
      <c r="B1403" s="8"/>
      <c r="C1403" s="5"/>
      <c r="D1403" s="5"/>
      <c r="E1403" s="5"/>
      <c r="F1403" s="5">
        <f>Данные!I20</f>
        <v>4</v>
      </c>
      <c r="G1403" s="5">
        <f>Данные!I34</f>
        <v>3</v>
      </c>
      <c r="H1403" s="5">
        <f>Данные!I57</f>
        <v>0</v>
      </c>
      <c r="I1403" s="5"/>
      <c r="J1403" s="5"/>
      <c r="K1403" s="5">
        <f>_xlfn.RANK.AVG(Данные!B13,Данные!$B$2:$B$75,1)</f>
        <v>4</v>
      </c>
      <c r="L1403" s="5">
        <f>_xlfn.RANK.AVG(Данные!I13,Данные!$I$2:$I$75,1)</f>
        <v>19</v>
      </c>
      <c r="M1403" s="5"/>
      <c r="N1403" s="5"/>
      <c r="O1403" s="5">
        <f>Данные!B13+(-0.105)</f>
        <v>0.89500000000000002</v>
      </c>
      <c r="P1403" s="5">
        <f>Данные!I13</f>
        <v>2</v>
      </c>
      <c r="Q1403" s="5"/>
    </row>
    <row r="1404" spans="1:17" x14ac:dyDescent="0.25">
      <c r="A1404" s="5"/>
      <c r="B1404" s="5"/>
      <c r="C1404" s="5"/>
      <c r="D1404" s="5"/>
      <c r="E1404" s="5"/>
      <c r="F1404" s="5"/>
      <c r="G1404" s="5">
        <f>Данные!I35</f>
        <v>3</v>
      </c>
      <c r="H1404" s="5">
        <f>Данные!I58</f>
        <v>5</v>
      </c>
      <c r="I1404" s="5"/>
      <c r="J1404" s="5"/>
      <c r="K1404" s="5">
        <f>_xlfn.RANK.AVG(Данные!B14,Данные!$B$2:$B$75,1)</f>
        <v>4</v>
      </c>
      <c r="L1404" s="5">
        <f>_xlfn.RANK.AVG(Данные!I14,Данные!$I$2:$I$75,1)</f>
        <v>30</v>
      </c>
      <c r="M1404" s="5"/>
      <c r="N1404" s="5"/>
      <c r="O1404" s="5">
        <f>Данные!B14+(-0.035)</f>
        <v>0.96499999999999997</v>
      </c>
      <c r="P1404" s="5">
        <f>Данные!I14</f>
        <v>3</v>
      </c>
      <c r="Q1404" s="5"/>
    </row>
    <row r="1405" spans="1:17" x14ac:dyDescent="0.25">
      <c r="A1405" s="5"/>
      <c r="B1405" s="5"/>
      <c r="C1405" s="5"/>
      <c r="D1405" s="5"/>
      <c r="E1405" s="5"/>
      <c r="F1405" s="5"/>
      <c r="G1405" s="5">
        <f>Данные!I37</f>
        <v>7</v>
      </c>
      <c r="H1405" s="5">
        <f>Данные!I59</f>
        <v>5</v>
      </c>
      <c r="I1405" s="5"/>
      <c r="J1405" s="5"/>
      <c r="K1405" s="5">
        <f>_xlfn.RANK.AVG(Данные!B15,Данные!$B$2:$B$75,1)</f>
        <v>13.5</v>
      </c>
      <c r="L1405" s="5">
        <f>_xlfn.RANK.AVG(Данные!I15,Данные!$I$2:$I$75,1)</f>
        <v>56.5</v>
      </c>
      <c r="M1405" s="5"/>
      <c r="N1405" s="5"/>
      <c r="O1405" s="5">
        <f>Данные!B15+(-0.035)</f>
        <v>1.9650000000000001</v>
      </c>
      <c r="P1405" s="5">
        <f>Данные!I15</f>
        <v>6</v>
      </c>
      <c r="Q1405" s="5"/>
    </row>
    <row r="1406" spans="1:17" x14ac:dyDescent="0.25">
      <c r="A1406" s="5"/>
      <c r="B1406" s="5"/>
      <c r="C1406" s="5"/>
      <c r="D1406" s="5"/>
      <c r="E1406" s="5"/>
      <c r="F1406" s="5"/>
      <c r="G1406" s="5">
        <f>Данные!I38</f>
        <v>10</v>
      </c>
      <c r="H1406" s="5">
        <f>Данные!I60</f>
        <v>0</v>
      </c>
      <c r="I1406" s="5"/>
      <c r="J1406" s="5"/>
      <c r="K1406" s="5">
        <f>_xlfn.RANK.AVG(Данные!B16,Данные!$B$2:$B$75,1)</f>
        <v>13.5</v>
      </c>
      <c r="L1406" s="5">
        <f>_xlfn.RANK.AVG(Данные!I16,Данные!$I$2:$I$75,1)</f>
        <v>69</v>
      </c>
      <c r="M1406" s="5"/>
      <c r="N1406" s="5"/>
      <c r="O1406" s="5">
        <f>Данные!B16+(-0.105)</f>
        <v>1.895</v>
      </c>
      <c r="P1406" s="5">
        <f>Данные!I16</f>
        <v>9</v>
      </c>
      <c r="Q1406" s="5"/>
    </row>
    <row r="1407" spans="1:17" x14ac:dyDescent="0.25">
      <c r="A1407" s="5"/>
      <c r="B1407" s="5"/>
      <c r="C1407" s="5"/>
      <c r="D1407" s="5"/>
      <c r="E1407" s="5"/>
      <c r="F1407" s="5"/>
      <c r="G1407" s="5">
        <f>Данные!I40</f>
        <v>1</v>
      </c>
      <c r="H1407" s="5">
        <f>Данные!I62</f>
        <v>1</v>
      </c>
      <c r="I1407" s="5"/>
      <c r="J1407" s="5"/>
      <c r="K1407" s="5">
        <f>_xlfn.RANK.AVG(Данные!B17,Данные!$B$2:$B$75,1)</f>
        <v>13.5</v>
      </c>
      <c r="L1407" s="5">
        <f>_xlfn.RANK.AVG(Данные!I17,Данные!$I$2:$I$75,1)</f>
        <v>40</v>
      </c>
      <c r="M1407" s="5"/>
      <c r="N1407" s="5"/>
      <c r="O1407" s="5">
        <f>Данные!B17+(-0.07)</f>
        <v>1.93</v>
      </c>
      <c r="P1407" s="5">
        <f>Данные!I17</f>
        <v>4</v>
      </c>
      <c r="Q1407" s="5"/>
    </row>
    <row r="1408" spans="1:17" x14ac:dyDescent="0.25">
      <c r="A1408" s="5"/>
      <c r="B1408" s="5"/>
      <c r="C1408" s="5"/>
      <c r="D1408" s="5"/>
      <c r="E1408" s="5"/>
      <c r="F1408" s="5"/>
      <c r="G1408" s="5">
        <f>Данные!I42</f>
        <v>5</v>
      </c>
      <c r="H1408" s="5">
        <f>Данные!I63</f>
        <v>4</v>
      </c>
      <c r="I1408" s="5"/>
      <c r="J1408" s="5"/>
      <c r="K1408" s="5">
        <f>_xlfn.RANK.AVG(Данные!B18,Данные!$B$2:$B$75,1)</f>
        <v>13.5</v>
      </c>
      <c r="L1408" s="5">
        <f>_xlfn.RANK.AVG(Данные!I18,Данные!$I$2:$I$75,1)</f>
        <v>49</v>
      </c>
      <c r="M1408" s="5"/>
      <c r="N1408" s="5"/>
      <c r="O1408" s="5">
        <f>Данные!B18+(-0.07)</f>
        <v>1.93</v>
      </c>
      <c r="P1408" s="5">
        <f>Данные!I18</f>
        <v>5</v>
      </c>
      <c r="Q1408" s="5"/>
    </row>
    <row r="1409" spans="1:17" x14ac:dyDescent="0.25">
      <c r="A1409" s="5"/>
      <c r="B1409" s="5"/>
      <c r="C1409" s="5"/>
      <c r="D1409" s="5"/>
      <c r="E1409" s="5"/>
      <c r="F1409" s="5"/>
      <c r="G1409" s="5">
        <f>Данные!I44</f>
        <v>3</v>
      </c>
      <c r="H1409" s="5">
        <f>Данные!I64</f>
        <v>3</v>
      </c>
      <c r="I1409" s="5"/>
      <c r="J1409" s="5"/>
      <c r="K1409" s="5">
        <f>_xlfn.RANK.AVG(Данные!B19,Данные!$B$2:$B$75,1)</f>
        <v>13.5</v>
      </c>
      <c r="L1409" s="5">
        <f>_xlfn.RANK.AVG(Данные!I19,Данные!$I$2:$I$75,1)</f>
        <v>66</v>
      </c>
      <c r="M1409" s="5"/>
      <c r="N1409" s="5"/>
      <c r="O1409" s="5">
        <f>Данные!B19+(-0.105)</f>
        <v>1.895</v>
      </c>
      <c r="P1409" s="5">
        <f>Данные!I19</f>
        <v>8</v>
      </c>
      <c r="Q1409" s="5"/>
    </row>
    <row r="1410" spans="1:17" x14ac:dyDescent="0.25">
      <c r="A1410" s="5"/>
      <c r="B1410" s="5"/>
      <c r="C1410" s="5"/>
      <c r="D1410" s="5"/>
      <c r="E1410" s="5"/>
      <c r="F1410" s="5"/>
      <c r="G1410" s="5">
        <f>Данные!I45</f>
        <v>4</v>
      </c>
      <c r="H1410" s="5">
        <f>Данные!I65</f>
        <v>3</v>
      </c>
      <c r="I1410" s="5"/>
      <c r="J1410" s="5"/>
      <c r="K1410" s="5">
        <f>_xlfn.RANK.AVG(Данные!B20,Данные!$B$2:$B$75,1)</f>
        <v>13.5</v>
      </c>
      <c r="L1410" s="5">
        <f>_xlfn.RANK.AVG(Данные!I20,Данные!$I$2:$I$75,1)</f>
        <v>40</v>
      </c>
      <c r="M1410" s="5"/>
      <c r="N1410" s="5"/>
      <c r="O1410" s="5">
        <f>Данные!B20+(-0.035)</f>
        <v>1.9650000000000001</v>
      </c>
      <c r="P1410" s="5">
        <f>Данные!I20</f>
        <v>4</v>
      </c>
      <c r="Q1410" s="5"/>
    </row>
    <row r="1411" spans="1:17" x14ac:dyDescent="0.25">
      <c r="A1411" s="5"/>
      <c r="B1411" s="5"/>
      <c r="C1411" s="5"/>
      <c r="D1411" s="5"/>
      <c r="E1411" s="5"/>
      <c r="F1411" s="5"/>
      <c r="G1411" s="5">
        <f>Данные!I47</f>
        <v>8</v>
      </c>
      <c r="H1411" s="5">
        <f>Данные!I66</f>
        <v>1</v>
      </c>
      <c r="I1411" s="5"/>
      <c r="J1411" s="5"/>
      <c r="K1411" s="5">
        <f>_xlfn.RANK.AVG(Данные!B21,Данные!$B$2:$B$75,1)</f>
        <v>56.5</v>
      </c>
      <c r="L1411" s="5">
        <f>_xlfn.RANK.AVG(Данные!I21,Данные!$I$2:$I$75,1)</f>
        <v>69</v>
      </c>
      <c r="M1411" s="5"/>
      <c r="N1411" s="5"/>
      <c r="O1411" s="5">
        <f>Данные!B21+(-0.105)</f>
        <v>3.895</v>
      </c>
      <c r="P1411" s="5">
        <f>Данные!I21</f>
        <v>9</v>
      </c>
      <c r="Q1411" s="5"/>
    </row>
    <row r="1412" spans="1:17" x14ac:dyDescent="0.25">
      <c r="A1412" s="5"/>
      <c r="B1412" s="5"/>
      <c r="C1412" s="5"/>
      <c r="D1412" s="5"/>
      <c r="E1412" s="5"/>
      <c r="F1412" s="5"/>
      <c r="G1412" s="5">
        <f>Данные!I49</f>
        <v>3</v>
      </c>
      <c r="H1412" s="5">
        <f>Данные!I69</f>
        <v>2</v>
      </c>
      <c r="I1412" s="5"/>
      <c r="J1412" s="5"/>
      <c r="K1412" s="5">
        <f>_xlfn.RANK.AVG(Данные!B22,Данные!$B$2:$B$75,1)</f>
        <v>32</v>
      </c>
      <c r="L1412" s="5">
        <f>_xlfn.RANK.AVG(Данные!I22,Данные!$I$2:$I$75,1)</f>
        <v>9</v>
      </c>
      <c r="M1412" s="5"/>
      <c r="N1412" s="5"/>
      <c r="O1412" s="5">
        <f>Данные!B22+(-0.105)</f>
        <v>2.895</v>
      </c>
      <c r="P1412" s="5">
        <f>Данные!I22</f>
        <v>1</v>
      </c>
      <c r="Q1412" s="5"/>
    </row>
    <row r="1413" spans="1:17" x14ac:dyDescent="0.25">
      <c r="A1413" s="5"/>
      <c r="B1413" s="5"/>
      <c r="C1413" s="5"/>
      <c r="D1413" s="5"/>
      <c r="E1413" s="5"/>
      <c r="F1413" s="5"/>
      <c r="G1413" s="5">
        <f>Данные!I50</f>
        <v>6</v>
      </c>
      <c r="H1413" s="5">
        <f>Данные!I70</f>
        <v>2</v>
      </c>
      <c r="I1413" s="5"/>
      <c r="J1413" s="5"/>
      <c r="K1413" s="5">
        <f>_xlfn.RANK.AVG(Данные!B23,Данные!$B$2:$B$75,1)</f>
        <v>32</v>
      </c>
      <c r="L1413" s="5">
        <f>_xlfn.RANK.AVG(Данные!I23,Данные!$I$2:$I$75,1)</f>
        <v>9</v>
      </c>
      <c r="M1413" s="5"/>
      <c r="N1413" s="5"/>
      <c r="O1413" s="5">
        <f>Данные!B23+(-0.07)</f>
        <v>2.93</v>
      </c>
      <c r="P1413" s="5">
        <f>Данные!I23</f>
        <v>1</v>
      </c>
      <c r="Q1413" s="5"/>
    </row>
    <row r="1414" spans="1:17" x14ac:dyDescent="0.25">
      <c r="A1414" s="5"/>
      <c r="B1414" s="5"/>
      <c r="C1414" s="5"/>
      <c r="D1414" s="5"/>
      <c r="E1414" s="5"/>
      <c r="F1414" s="5"/>
      <c r="G1414" s="5">
        <f>Данные!I51</f>
        <v>1</v>
      </c>
      <c r="H1414" s="5">
        <f>Данные!I74</f>
        <v>2</v>
      </c>
      <c r="I1414" s="5"/>
      <c r="J1414" s="5"/>
      <c r="K1414" s="5">
        <f>_xlfn.RANK.AVG(Данные!B24,Данные!$B$2:$B$75,1)</f>
        <v>32</v>
      </c>
      <c r="L1414" s="5">
        <f>_xlfn.RANK.AVG(Данные!I24,Данные!$I$2:$I$75,1)</f>
        <v>2.5</v>
      </c>
      <c r="M1414" s="5"/>
      <c r="N1414" s="5"/>
      <c r="O1414" s="5">
        <f>Данные!B24+(-0.105)</f>
        <v>2.895</v>
      </c>
      <c r="P1414" s="5">
        <f>Данные!I24</f>
        <v>0</v>
      </c>
      <c r="Q1414" s="5"/>
    </row>
    <row r="1415" spans="1:17" x14ac:dyDescent="0.25">
      <c r="A1415" s="5"/>
      <c r="B1415" s="5"/>
      <c r="C1415" s="5"/>
      <c r="D1415" s="5"/>
      <c r="E1415" s="5"/>
      <c r="F1415" s="5"/>
      <c r="G1415" s="5">
        <f>Данные!I52</f>
        <v>1</v>
      </c>
      <c r="H1415" s="5">
        <f>Данные!I75</f>
        <v>2</v>
      </c>
      <c r="I1415" s="5"/>
      <c r="J1415" s="5"/>
      <c r="K1415" s="5">
        <f>_xlfn.RANK.AVG(Данные!B25,Данные!$B$2:$B$75,1)</f>
        <v>32</v>
      </c>
      <c r="L1415" s="5">
        <f>_xlfn.RANK.AVG(Данные!I25,Данные!$I$2:$I$75,1)</f>
        <v>49</v>
      </c>
      <c r="M1415" s="5"/>
      <c r="N1415" s="5"/>
      <c r="O1415" s="5">
        <f>Данные!B25+(-0.105)</f>
        <v>2.895</v>
      </c>
      <c r="P1415" s="5">
        <f>Данные!I25</f>
        <v>5</v>
      </c>
      <c r="Q1415" s="5"/>
    </row>
    <row r="1416" spans="1:17" x14ac:dyDescent="0.25">
      <c r="A1416" s="5"/>
      <c r="B1416" s="5"/>
      <c r="C1416" s="5"/>
      <c r="D1416" s="5"/>
      <c r="E1416" s="5"/>
      <c r="F1416" s="5"/>
      <c r="G1416" s="5">
        <f>Данные!I54</f>
        <v>2</v>
      </c>
      <c r="H1416" s="5"/>
      <c r="I1416" s="5"/>
      <c r="J1416" s="5"/>
      <c r="K1416" s="5">
        <f>_xlfn.RANK.AVG(Данные!B26,Данные!$B$2:$B$75,1)</f>
        <v>32</v>
      </c>
      <c r="L1416" s="5">
        <f>_xlfn.RANK.AVG(Данные!I26,Данные!$I$2:$I$75,1)</f>
        <v>62</v>
      </c>
      <c r="M1416" s="5"/>
      <c r="N1416" s="5"/>
      <c r="O1416" s="5">
        <f>Данные!B26+(-0.105)</f>
        <v>2.895</v>
      </c>
      <c r="P1416" s="5">
        <f>Данные!I26</f>
        <v>7</v>
      </c>
      <c r="Q1416" s="5"/>
    </row>
    <row r="1417" spans="1:17" x14ac:dyDescent="0.25">
      <c r="A1417" s="5"/>
      <c r="B1417" s="5"/>
      <c r="C1417" s="5"/>
      <c r="D1417" s="5"/>
      <c r="E1417" s="5"/>
      <c r="F1417" s="5"/>
      <c r="G1417" s="5"/>
      <c r="H1417" s="5"/>
      <c r="I1417" s="5"/>
      <c r="J1417" s="5"/>
      <c r="K1417" s="5">
        <f>_xlfn.RANK.AVG(Данные!B27,Данные!$B$2:$B$75,1)</f>
        <v>32</v>
      </c>
      <c r="L1417" s="5">
        <f>_xlfn.RANK.AVG(Данные!I27,Данные!$I$2:$I$75,1)</f>
        <v>56.5</v>
      </c>
      <c r="M1417" s="5"/>
      <c r="N1417" s="5"/>
      <c r="O1417" s="5">
        <f>Данные!B27+(-0.105)</f>
        <v>2.895</v>
      </c>
      <c r="P1417" s="5">
        <f>Данные!I27</f>
        <v>6</v>
      </c>
      <c r="Q1417" s="5"/>
    </row>
    <row r="1418" spans="1:17" x14ac:dyDescent="0.25">
      <c r="A1418" s="5"/>
      <c r="B1418" s="5"/>
      <c r="C1418" s="5"/>
      <c r="D1418" s="5"/>
      <c r="E1418" s="5"/>
      <c r="F1418" s="5"/>
      <c r="G1418" s="5"/>
      <c r="H1418" s="5"/>
      <c r="I1418" s="5"/>
      <c r="J1418" s="5"/>
      <c r="K1418" s="5">
        <f>_xlfn.RANK.AVG(Данные!B28,Данные!$B$2:$B$75,1)</f>
        <v>32</v>
      </c>
      <c r="L1418" s="5">
        <f>_xlfn.RANK.AVG(Данные!I28,Данные!$I$2:$I$75,1)</f>
        <v>2.5</v>
      </c>
      <c r="M1418" s="5"/>
      <c r="N1418" s="5"/>
      <c r="O1418" s="5">
        <f>Данные!B28+(-0.07)</f>
        <v>2.93</v>
      </c>
      <c r="P1418" s="5">
        <f>Данные!I28</f>
        <v>0</v>
      </c>
      <c r="Q1418" s="5"/>
    </row>
    <row r="1419" spans="1:17" x14ac:dyDescent="0.25">
      <c r="A1419" s="5"/>
      <c r="B1419" s="5"/>
      <c r="C1419" s="5"/>
      <c r="D1419" s="5"/>
      <c r="E1419" s="5"/>
      <c r="F1419" s="5"/>
      <c r="G1419" s="5"/>
      <c r="H1419" s="5"/>
      <c r="I1419" s="5"/>
      <c r="J1419" s="5"/>
      <c r="K1419" s="5">
        <f>_xlfn.RANK.AVG(Данные!B29,Данные!$B$2:$B$75,1)</f>
        <v>32</v>
      </c>
      <c r="L1419" s="5">
        <f>_xlfn.RANK.AVG(Данные!I29,Данные!$I$2:$I$75,1)</f>
        <v>30</v>
      </c>
      <c r="M1419" s="5"/>
      <c r="N1419" s="5"/>
      <c r="O1419" s="5">
        <f>Данные!B29+(-0.105)</f>
        <v>2.895</v>
      </c>
      <c r="P1419" s="5">
        <f>Данные!I29</f>
        <v>3</v>
      </c>
      <c r="Q1419" s="5"/>
    </row>
    <row r="1420" spans="1:17" x14ac:dyDescent="0.25">
      <c r="A1420" s="5"/>
      <c r="B1420" s="5"/>
      <c r="C1420" s="5"/>
      <c r="D1420" s="5"/>
      <c r="E1420" s="5"/>
      <c r="F1420" s="5"/>
      <c r="G1420" s="5"/>
      <c r="H1420" s="5"/>
      <c r="I1420" s="5"/>
      <c r="J1420" s="5"/>
      <c r="K1420" s="5">
        <f>_xlfn.RANK.AVG(Данные!B30,Данные!$B$2:$B$75,1)</f>
        <v>32</v>
      </c>
      <c r="L1420" s="5">
        <f>_xlfn.RANK.AVG(Данные!I30,Данные!$I$2:$I$75,1)</f>
        <v>19</v>
      </c>
      <c r="M1420" s="5"/>
      <c r="N1420" s="5"/>
      <c r="O1420" s="5">
        <f>Данные!B30+(-0.105)</f>
        <v>2.895</v>
      </c>
      <c r="P1420" s="5">
        <f>Данные!I30</f>
        <v>2</v>
      </c>
      <c r="Q1420" s="5"/>
    </row>
    <row r="1421" spans="1:17" x14ac:dyDescent="0.25">
      <c r="A1421" s="5"/>
      <c r="B1421" s="5"/>
      <c r="C1421" s="5"/>
      <c r="D1421" s="5"/>
      <c r="E1421" s="5"/>
      <c r="F1421" s="5"/>
      <c r="G1421" s="5"/>
      <c r="H1421" s="5"/>
      <c r="I1421" s="5"/>
      <c r="J1421" s="5"/>
      <c r="K1421" s="5">
        <f>_xlfn.RANK.AVG(Данные!B31,Данные!$B$2:$B$75,1)</f>
        <v>56.5</v>
      </c>
      <c r="L1421" s="5">
        <f>_xlfn.RANK.AVG(Данные!I31,Данные!$I$2:$I$75,1)</f>
        <v>30</v>
      </c>
      <c r="M1421" s="5"/>
      <c r="N1421" s="5"/>
      <c r="O1421" s="5">
        <f>Данные!B31+(-0.105)</f>
        <v>3.895</v>
      </c>
      <c r="P1421" s="5">
        <f>Данные!I31</f>
        <v>3</v>
      </c>
      <c r="Q1421" s="5"/>
    </row>
    <row r="1422" spans="1:17" x14ac:dyDescent="0.25">
      <c r="A1422" s="5"/>
      <c r="B1422" s="5"/>
      <c r="C1422" s="5"/>
      <c r="D1422" s="5"/>
      <c r="E1422" s="5"/>
      <c r="F1422" s="5"/>
      <c r="G1422" s="5"/>
      <c r="H1422" s="5"/>
      <c r="I1422" s="5"/>
      <c r="J1422" s="5"/>
      <c r="K1422" s="5">
        <f>_xlfn.RANK.AVG(Данные!B32,Данные!$B$2:$B$75,1)</f>
        <v>32</v>
      </c>
      <c r="L1422" s="5">
        <f>_xlfn.RANK.AVG(Данные!I32,Данные!$I$2:$I$75,1)</f>
        <v>62</v>
      </c>
      <c r="M1422" s="5"/>
      <c r="N1422" s="5"/>
      <c r="O1422" s="5">
        <f>Данные!B32+(-0.07)</f>
        <v>2.93</v>
      </c>
      <c r="P1422" s="5">
        <f>Данные!I32</f>
        <v>7</v>
      </c>
      <c r="Q1422" s="5"/>
    </row>
    <row r="1423" spans="1:17" x14ac:dyDescent="0.25">
      <c r="A1423" s="5"/>
      <c r="B1423" s="5"/>
      <c r="C1423" s="5"/>
      <c r="D1423" s="5"/>
      <c r="E1423" s="5"/>
      <c r="F1423" s="5"/>
      <c r="G1423" s="5"/>
      <c r="H1423" s="5"/>
      <c r="I1423" s="5"/>
      <c r="J1423" s="5"/>
      <c r="K1423" s="5">
        <f>_xlfn.RANK.AVG(Данные!B33,Данные!$B$2:$B$75,1)</f>
        <v>32</v>
      </c>
      <c r="L1423" s="5">
        <f>_xlfn.RANK.AVG(Данные!I33,Данные!$I$2:$I$75,1)</f>
        <v>62</v>
      </c>
      <c r="M1423" s="5"/>
      <c r="N1423" s="5"/>
      <c r="O1423" s="5">
        <f>Данные!B33+(-0.035)</f>
        <v>2.9649999999999999</v>
      </c>
      <c r="P1423" s="5">
        <f>Данные!I33</f>
        <v>7</v>
      </c>
      <c r="Q1423" s="5"/>
    </row>
    <row r="1424" spans="1:17" x14ac:dyDescent="0.25">
      <c r="A1424" s="5"/>
      <c r="B1424" s="5"/>
      <c r="C1424" s="5"/>
      <c r="D1424" s="5"/>
      <c r="E1424" s="5"/>
      <c r="F1424" s="5"/>
      <c r="G1424" s="5"/>
      <c r="H1424" s="5"/>
      <c r="I1424" s="5"/>
      <c r="J1424" s="5"/>
      <c r="K1424" s="5">
        <f>_xlfn.RANK.AVG(Данные!B34,Данные!$B$2:$B$75,1)</f>
        <v>32</v>
      </c>
      <c r="L1424" s="5">
        <f>_xlfn.RANK.AVG(Данные!I34,Данные!$I$2:$I$75,1)</f>
        <v>30</v>
      </c>
      <c r="M1424" s="5"/>
      <c r="N1424" s="5"/>
      <c r="O1424" s="5">
        <f>Данные!B34+(-0.07)</f>
        <v>2.93</v>
      </c>
      <c r="P1424" s="5">
        <f>Данные!I34</f>
        <v>3</v>
      </c>
      <c r="Q1424" s="5"/>
    </row>
    <row r="1425" spans="1:17" x14ac:dyDescent="0.25">
      <c r="A1425" s="5"/>
      <c r="B1425" s="5"/>
      <c r="C1425" s="5"/>
      <c r="D1425" s="5"/>
      <c r="E1425" s="5"/>
      <c r="F1425" s="5"/>
      <c r="G1425" s="5"/>
      <c r="H1425" s="5"/>
      <c r="I1425" s="5"/>
      <c r="J1425" s="5"/>
      <c r="K1425" s="5">
        <f>_xlfn.RANK.AVG(Данные!B35,Данные!$B$2:$B$75,1)</f>
        <v>32</v>
      </c>
      <c r="L1425" s="5">
        <f>_xlfn.RANK.AVG(Данные!I35,Данные!$I$2:$I$75,1)</f>
        <v>30</v>
      </c>
      <c r="M1425" s="5"/>
      <c r="N1425" s="5"/>
      <c r="O1425" s="5">
        <f>Данные!B35+(-0.035)</f>
        <v>2.9649999999999999</v>
      </c>
      <c r="P1425" s="5">
        <f>Данные!I35</f>
        <v>3</v>
      </c>
      <c r="Q1425" s="5"/>
    </row>
    <row r="1426" spans="1:17" x14ac:dyDescent="0.25">
      <c r="A1426" s="5"/>
      <c r="B1426" s="5"/>
      <c r="C1426" s="5"/>
      <c r="D1426" s="5"/>
      <c r="E1426" s="5"/>
      <c r="F1426" s="5"/>
      <c r="G1426" s="5"/>
      <c r="H1426" s="5"/>
      <c r="I1426" s="5"/>
      <c r="J1426" s="5"/>
      <c r="K1426" s="5">
        <f>_xlfn.RANK.AVG(Данные!B36,Данные!$B$2:$B$75,1)</f>
        <v>56.5</v>
      </c>
      <c r="L1426" s="5">
        <f>_xlfn.RANK.AVG(Данные!I36,Данные!$I$2:$I$75,1)</f>
        <v>19</v>
      </c>
      <c r="M1426" s="5"/>
      <c r="N1426" s="5"/>
      <c r="O1426" s="5">
        <f>Данные!B36+(-0.105)</f>
        <v>3.895</v>
      </c>
      <c r="P1426" s="5">
        <f>Данные!I36</f>
        <v>2</v>
      </c>
      <c r="Q1426" s="5"/>
    </row>
    <row r="1427" spans="1:17" x14ac:dyDescent="0.25">
      <c r="A1427" s="5"/>
      <c r="B1427" s="5"/>
      <c r="C1427" s="5"/>
      <c r="D1427" s="5"/>
      <c r="E1427" s="5"/>
      <c r="F1427" s="5"/>
      <c r="G1427" s="5"/>
      <c r="H1427" s="5"/>
      <c r="I1427" s="5"/>
      <c r="J1427" s="5"/>
      <c r="K1427" s="5">
        <f>_xlfn.RANK.AVG(Данные!B37,Данные!$B$2:$B$75,1)</f>
        <v>32</v>
      </c>
      <c r="L1427" s="5">
        <f>_xlfn.RANK.AVG(Данные!I37,Данные!$I$2:$I$75,1)</f>
        <v>62</v>
      </c>
      <c r="M1427" s="5"/>
      <c r="N1427" s="5"/>
      <c r="O1427" s="5">
        <f>Данные!B37+(0)</f>
        <v>3</v>
      </c>
      <c r="P1427" s="5">
        <f>Данные!I37</f>
        <v>7</v>
      </c>
      <c r="Q1427" s="5"/>
    </row>
    <row r="1428" spans="1:17" x14ac:dyDescent="0.25">
      <c r="A1428" s="5"/>
      <c r="B1428" s="5"/>
      <c r="C1428" s="5"/>
      <c r="D1428" s="5"/>
      <c r="E1428" s="5"/>
      <c r="F1428" s="5"/>
      <c r="G1428" s="5"/>
      <c r="H1428" s="5"/>
      <c r="I1428" s="5"/>
      <c r="J1428" s="5"/>
      <c r="K1428" s="5">
        <f>_xlfn.RANK.AVG(Данные!B38,Данные!$B$2:$B$75,1)</f>
        <v>32</v>
      </c>
      <c r="L1428" s="5">
        <f>_xlfn.RANK.AVG(Данные!I38,Данные!$I$2:$I$75,1)</f>
        <v>71</v>
      </c>
      <c r="M1428" s="5"/>
      <c r="N1428" s="5"/>
      <c r="O1428" s="5">
        <f>Данные!B38+(-0.105)</f>
        <v>2.895</v>
      </c>
      <c r="P1428" s="5">
        <f>Данные!I38</f>
        <v>10</v>
      </c>
      <c r="Q1428" s="5"/>
    </row>
    <row r="1429" spans="1:17" x14ac:dyDescent="0.25">
      <c r="A1429" s="5"/>
      <c r="B1429" s="5"/>
      <c r="C1429" s="5"/>
      <c r="D1429" s="5"/>
      <c r="E1429" s="5"/>
      <c r="F1429" s="5"/>
      <c r="G1429" s="5"/>
      <c r="H1429" s="5"/>
      <c r="I1429" s="5"/>
      <c r="J1429" s="5"/>
      <c r="K1429" s="5">
        <f>_xlfn.RANK.AVG(Данные!B39,Данные!$B$2:$B$75,1)</f>
        <v>56.5</v>
      </c>
      <c r="L1429" s="5">
        <f>_xlfn.RANK.AVG(Данные!I39,Данные!$I$2:$I$75,1)</f>
        <v>69</v>
      </c>
      <c r="M1429" s="5"/>
      <c r="N1429" s="5"/>
      <c r="O1429" s="5">
        <f>Данные!B39+(-0.07)</f>
        <v>3.93</v>
      </c>
      <c r="P1429" s="5">
        <f>Данные!I39</f>
        <v>9</v>
      </c>
      <c r="Q1429" s="5"/>
    </row>
    <row r="1430" spans="1:17" x14ac:dyDescent="0.25">
      <c r="A1430" s="5"/>
      <c r="B1430" s="5"/>
      <c r="C1430" s="5"/>
      <c r="D1430" s="5"/>
      <c r="E1430" s="5"/>
      <c r="F1430" s="5"/>
      <c r="G1430" s="5"/>
      <c r="H1430" s="5"/>
      <c r="I1430" s="5"/>
      <c r="J1430" s="5"/>
      <c r="K1430" s="5">
        <f>_xlfn.RANK.AVG(Данные!B40,Данные!$B$2:$B$75,1)</f>
        <v>32</v>
      </c>
      <c r="L1430" s="5">
        <f>_xlfn.RANK.AVG(Данные!I40,Данные!$I$2:$I$75,1)</f>
        <v>9</v>
      </c>
      <c r="M1430" s="5"/>
      <c r="N1430" s="5"/>
      <c r="O1430" s="5">
        <f>Данные!B40+(-0.035)</f>
        <v>2.9649999999999999</v>
      </c>
      <c r="P1430" s="5">
        <f>Данные!I40</f>
        <v>1</v>
      </c>
      <c r="Q1430" s="5"/>
    </row>
    <row r="1431" spans="1:17" x14ac:dyDescent="0.25">
      <c r="A1431" s="5"/>
      <c r="B1431" s="5"/>
      <c r="C1431" s="5"/>
      <c r="D1431" s="5"/>
      <c r="E1431" s="5"/>
      <c r="F1431" s="5"/>
      <c r="G1431" s="5"/>
      <c r="H1431" s="5"/>
      <c r="I1431" s="5"/>
      <c r="J1431" s="5"/>
      <c r="K1431" s="5">
        <f>_xlfn.RANK.AVG(Данные!B41,Данные!$B$2:$B$75,1)</f>
        <v>56.5</v>
      </c>
      <c r="L1431" s="5">
        <f>_xlfn.RANK.AVG(Данные!I41,Данные!$I$2:$I$75,1)</f>
        <v>62</v>
      </c>
      <c r="M1431" s="5"/>
      <c r="N1431" s="5"/>
      <c r="O1431" s="5">
        <f>Данные!B41+(-0.105)</f>
        <v>3.895</v>
      </c>
      <c r="P1431" s="5">
        <f>Данные!I41</f>
        <v>7</v>
      </c>
      <c r="Q1431" s="5"/>
    </row>
    <row r="1432" spans="1:17" x14ac:dyDescent="0.25">
      <c r="A1432" s="5"/>
      <c r="B1432" s="5"/>
      <c r="C1432" s="5"/>
      <c r="D1432" s="5"/>
      <c r="E1432" s="5"/>
      <c r="F1432" s="5"/>
      <c r="G1432" s="5"/>
      <c r="H1432" s="5"/>
      <c r="I1432" s="5"/>
      <c r="J1432" s="5"/>
      <c r="K1432" s="5">
        <f>_xlfn.RANK.AVG(Данные!B42,Данные!$B$2:$B$75,1)</f>
        <v>32</v>
      </c>
      <c r="L1432" s="5">
        <f>_xlfn.RANK.AVG(Данные!I42,Данные!$I$2:$I$75,1)</f>
        <v>49</v>
      </c>
      <c r="M1432" s="5"/>
      <c r="N1432" s="5"/>
      <c r="O1432" s="5">
        <f>Данные!B42+(-0.07)</f>
        <v>2.93</v>
      </c>
      <c r="P1432" s="5">
        <f>Данные!I42</f>
        <v>5</v>
      </c>
      <c r="Q1432" s="5"/>
    </row>
    <row r="1433" spans="1:17" x14ac:dyDescent="0.25">
      <c r="A1433" s="5"/>
      <c r="B1433" s="5"/>
      <c r="C1433" s="5"/>
      <c r="D1433" s="5"/>
      <c r="E1433" s="5"/>
      <c r="F1433" s="5"/>
      <c r="G1433" s="5"/>
      <c r="H1433" s="5"/>
      <c r="I1433" s="5"/>
      <c r="J1433" s="5"/>
      <c r="K1433" s="5">
        <f>_xlfn.RANK.AVG(Данные!B43,Данные!$B$2:$B$75,1)</f>
        <v>56.5</v>
      </c>
      <c r="L1433" s="5">
        <f>_xlfn.RANK.AVG(Данные!I43,Данные!$I$2:$I$75,1)</f>
        <v>40</v>
      </c>
      <c r="M1433" s="5"/>
      <c r="N1433" s="5"/>
      <c r="O1433" s="5">
        <f>Данные!B43+(-0.105)</f>
        <v>3.895</v>
      </c>
      <c r="P1433" s="5">
        <f>Данные!I43</f>
        <v>4</v>
      </c>
      <c r="Q1433" s="5"/>
    </row>
    <row r="1434" spans="1:17" x14ac:dyDescent="0.25">
      <c r="A1434" s="5"/>
      <c r="B1434" s="5"/>
      <c r="C1434" s="5"/>
      <c r="D1434" s="5"/>
      <c r="E1434" s="5"/>
      <c r="F1434" s="5"/>
      <c r="G1434" s="5"/>
      <c r="H1434" s="5"/>
      <c r="I1434" s="5"/>
      <c r="J1434" s="5"/>
      <c r="K1434" s="5">
        <f>_xlfn.RANK.AVG(Данные!B44,Данные!$B$2:$B$75,1)</f>
        <v>32</v>
      </c>
      <c r="L1434" s="5">
        <f>_xlfn.RANK.AVG(Данные!I44,Данные!$I$2:$I$75,1)</f>
        <v>30</v>
      </c>
      <c r="M1434" s="5"/>
      <c r="N1434" s="5"/>
      <c r="O1434" s="5">
        <f>Данные!B44+(0)</f>
        <v>3</v>
      </c>
      <c r="P1434" s="5">
        <f>Данные!I44</f>
        <v>3</v>
      </c>
      <c r="Q1434" s="5"/>
    </row>
    <row r="1435" spans="1:17" x14ac:dyDescent="0.25">
      <c r="A1435" s="5"/>
      <c r="B1435" s="5"/>
      <c r="C1435" s="5"/>
      <c r="D1435" s="5"/>
      <c r="E1435" s="5"/>
      <c r="F1435" s="5"/>
      <c r="G1435" s="5"/>
      <c r="H1435" s="5"/>
      <c r="I1435" s="5"/>
      <c r="J1435" s="5"/>
      <c r="K1435" s="5">
        <f>_xlfn.RANK.AVG(Данные!B45,Данные!$B$2:$B$75,1)</f>
        <v>32</v>
      </c>
      <c r="L1435" s="5">
        <f>_xlfn.RANK.AVG(Данные!I45,Данные!$I$2:$I$75,1)</f>
        <v>40</v>
      </c>
      <c r="M1435" s="5"/>
      <c r="N1435" s="5"/>
      <c r="O1435" s="5">
        <f>Данные!B45+(-0.105)</f>
        <v>2.895</v>
      </c>
      <c r="P1435" s="5">
        <f>Данные!I45</f>
        <v>4</v>
      </c>
      <c r="Q1435" s="5"/>
    </row>
    <row r="1436" spans="1:17" x14ac:dyDescent="0.25">
      <c r="A1436" s="5"/>
      <c r="B1436" s="5"/>
      <c r="C1436" s="5"/>
      <c r="D1436" s="5"/>
      <c r="E1436" s="5"/>
      <c r="F1436" s="5"/>
      <c r="G1436" s="5"/>
      <c r="H1436" s="5"/>
      <c r="I1436" s="5"/>
      <c r="J1436" s="5"/>
      <c r="K1436" s="5">
        <f>_xlfn.RANK.AVG(Данные!B46,Данные!$B$2:$B$75,1)</f>
        <v>56.5</v>
      </c>
      <c r="L1436" s="5">
        <f>_xlfn.RANK.AVG(Данные!I46,Данные!$I$2:$I$75,1)</f>
        <v>49</v>
      </c>
      <c r="M1436" s="5"/>
      <c r="N1436" s="5"/>
      <c r="O1436" s="5">
        <f>Данные!B46+(-0.105)</f>
        <v>3.895</v>
      </c>
      <c r="P1436" s="5">
        <f>Данные!I46</f>
        <v>5</v>
      </c>
      <c r="Q1436" s="5"/>
    </row>
    <row r="1437" spans="1:17" x14ac:dyDescent="0.25">
      <c r="A1437" s="5"/>
      <c r="B1437" s="5"/>
      <c r="C1437" s="5"/>
      <c r="D1437" s="5"/>
      <c r="E1437" s="5"/>
      <c r="F1437" s="5"/>
      <c r="G1437" s="5"/>
      <c r="H1437" s="5"/>
      <c r="I1437" s="5"/>
      <c r="J1437" s="5"/>
      <c r="K1437" s="5">
        <f>_xlfn.RANK.AVG(Данные!B47,Данные!$B$2:$B$75,1)</f>
        <v>32</v>
      </c>
      <c r="L1437" s="5">
        <f>_xlfn.RANK.AVG(Данные!I47,Данные!$I$2:$I$75,1)</f>
        <v>66</v>
      </c>
      <c r="M1437" s="5"/>
      <c r="N1437" s="5"/>
      <c r="O1437" s="5">
        <f>Данные!B47+(-0.105)</f>
        <v>2.895</v>
      </c>
      <c r="P1437" s="5">
        <f>Данные!I47</f>
        <v>8</v>
      </c>
      <c r="Q1437" s="5"/>
    </row>
    <row r="1438" spans="1:17" x14ac:dyDescent="0.25">
      <c r="A1438" s="5"/>
      <c r="B1438" s="5"/>
      <c r="C1438" s="5"/>
      <c r="D1438" s="5"/>
      <c r="E1438" s="5"/>
      <c r="F1438" s="5"/>
      <c r="G1438" s="5"/>
      <c r="H1438" s="5"/>
      <c r="I1438" s="5"/>
      <c r="J1438" s="5"/>
      <c r="K1438" s="5">
        <f>_xlfn.RANK.AVG(Данные!B48,Данные!$B$2:$B$75,1)</f>
        <v>56.5</v>
      </c>
      <c r="L1438" s="5">
        <f>_xlfn.RANK.AVG(Данные!I48,Данные!$I$2:$I$75,1)</f>
        <v>19</v>
      </c>
      <c r="M1438" s="5"/>
      <c r="N1438" s="5"/>
      <c r="O1438" s="5">
        <f>Данные!B48+(-0.07)</f>
        <v>3.93</v>
      </c>
      <c r="P1438" s="5">
        <f>Данные!I48</f>
        <v>2</v>
      </c>
      <c r="Q1438" s="5"/>
    </row>
    <row r="1439" spans="1:17" x14ac:dyDescent="0.25">
      <c r="A1439" s="5"/>
      <c r="B1439" s="5"/>
      <c r="C1439" s="5"/>
      <c r="D1439" s="5"/>
      <c r="E1439" s="5"/>
      <c r="F1439" s="5"/>
      <c r="G1439" s="5"/>
      <c r="H1439" s="5"/>
      <c r="I1439" s="5"/>
      <c r="J1439" s="5"/>
      <c r="K1439" s="5">
        <f>_xlfn.RANK.AVG(Данные!B49,Данные!$B$2:$B$75,1)</f>
        <v>32</v>
      </c>
      <c r="L1439" s="5">
        <f>_xlfn.RANK.AVG(Данные!I49,Данные!$I$2:$I$75,1)</f>
        <v>30</v>
      </c>
      <c r="M1439" s="5"/>
      <c r="N1439" s="5"/>
      <c r="O1439" s="5">
        <f>Данные!B49+(0.035)</f>
        <v>3.0350000000000001</v>
      </c>
      <c r="P1439" s="5">
        <f>Данные!I49</f>
        <v>3</v>
      </c>
      <c r="Q1439" s="5"/>
    </row>
    <row r="1440" spans="1:17" x14ac:dyDescent="0.25">
      <c r="A1440" s="5"/>
      <c r="B1440" s="5"/>
      <c r="C1440" s="5"/>
      <c r="D1440" s="5"/>
      <c r="E1440" s="5"/>
      <c r="F1440" s="5"/>
      <c r="G1440" s="5"/>
      <c r="H1440" s="5"/>
      <c r="I1440" s="5"/>
      <c r="J1440" s="5"/>
      <c r="K1440" s="5">
        <f>_xlfn.RANK.AVG(Данные!B50,Данные!$B$2:$B$75,1)</f>
        <v>32</v>
      </c>
      <c r="L1440" s="5">
        <f>_xlfn.RANK.AVG(Данные!I50,Данные!$I$2:$I$75,1)</f>
        <v>56.5</v>
      </c>
      <c r="M1440" s="5"/>
      <c r="N1440" s="5"/>
      <c r="O1440" s="5">
        <f>Данные!B50+(-0.07)</f>
        <v>2.93</v>
      </c>
      <c r="P1440" s="5">
        <f>Данные!I50</f>
        <v>6</v>
      </c>
      <c r="Q1440" s="5"/>
    </row>
    <row r="1441" spans="1:17" x14ac:dyDescent="0.25">
      <c r="A1441" s="5"/>
      <c r="B1441" s="5"/>
      <c r="C1441" s="5"/>
      <c r="D1441" s="5"/>
      <c r="E1441" s="5"/>
      <c r="F1441" s="5"/>
      <c r="G1441" s="5"/>
      <c r="H1441" s="5"/>
      <c r="I1441" s="5"/>
      <c r="J1441" s="5"/>
      <c r="K1441" s="5">
        <f>_xlfn.RANK.AVG(Данные!B51,Данные!$B$2:$B$75,1)</f>
        <v>32</v>
      </c>
      <c r="L1441" s="5">
        <f>_xlfn.RANK.AVG(Данные!I51,Данные!$I$2:$I$75,1)</f>
        <v>9</v>
      </c>
      <c r="M1441" s="5"/>
      <c r="N1441" s="5"/>
      <c r="O1441" s="5">
        <f>Данные!B51+(0)</f>
        <v>3</v>
      </c>
      <c r="P1441" s="5">
        <f>Данные!I51</f>
        <v>1</v>
      </c>
      <c r="Q1441" s="5"/>
    </row>
    <row r="1442" spans="1:17" x14ac:dyDescent="0.25">
      <c r="A1442" s="5"/>
      <c r="B1442" s="5"/>
      <c r="C1442" s="5"/>
      <c r="D1442" s="5"/>
      <c r="E1442" s="5"/>
      <c r="F1442" s="5"/>
      <c r="G1442" s="5"/>
      <c r="H1442" s="5"/>
      <c r="I1442" s="5"/>
      <c r="J1442" s="5"/>
      <c r="K1442" s="5">
        <f>_xlfn.RANK.AVG(Данные!B52,Данные!$B$2:$B$75,1)</f>
        <v>32</v>
      </c>
      <c r="L1442" s="5">
        <f>_xlfn.RANK.AVG(Данные!I52,Данные!$I$2:$I$75,1)</f>
        <v>9</v>
      </c>
      <c r="M1442" s="5"/>
      <c r="N1442" s="5"/>
      <c r="O1442" s="5">
        <f>Данные!B52+(0.035)</f>
        <v>3.0350000000000001</v>
      </c>
      <c r="P1442" s="5">
        <f>Данные!I52</f>
        <v>1</v>
      </c>
      <c r="Q1442" s="5"/>
    </row>
    <row r="1443" spans="1:17" x14ac:dyDescent="0.25">
      <c r="A1443" s="5"/>
      <c r="B1443" s="5"/>
      <c r="C1443" s="5"/>
      <c r="D1443" s="5"/>
      <c r="E1443" s="5"/>
      <c r="F1443" s="5"/>
      <c r="G1443" s="5"/>
      <c r="H1443" s="5"/>
      <c r="I1443" s="5"/>
      <c r="J1443" s="5"/>
      <c r="K1443" s="5">
        <f>_xlfn.RANK.AVG(Данные!B53,Данные!$B$2:$B$75,1)</f>
        <v>56.5</v>
      </c>
      <c r="L1443" s="5">
        <f>_xlfn.RANK.AVG(Данные!I53,Данные!$I$2:$I$75,1)</f>
        <v>74</v>
      </c>
      <c r="M1443" s="5"/>
      <c r="N1443" s="5"/>
      <c r="O1443" s="5">
        <f>Данные!B53+(-0.105)</f>
        <v>3.895</v>
      </c>
      <c r="P1443" s="5">
        <f>Данные!I53</f>
        <v>12</v>
      </c>
      <c r="Q1443" s="5"/>
    </row>
    <row r="1444" spans="1:17" x14ac:dyDescent="0.25">
      <c r="A1444" s="5"/>
      <c r="B1444" s="5"/>
      <c r="C1444" s="5"/>
      <c r="D1444" s="5"/>
      <c r="E1444" s="5"/>
      <c r="F1444" s="5"/>
      <c r="G1444" s="5"/>
      <c r="H1444" s="5"/>
      <c r="I1444" s="5"/>
      <c r="J1444" s="5"/>
      <c r="K1444" s="5">
        <f>_xlfn.RANK.AVG(Данные!B54,Данные!$B$2:$B$75,1)</f>
        <v>32</v>
      </c>
      <c r="L1444" s="5">
        <f>_xlfn.RANK.AVG(Данные!I54,Данные!$I$2:$I$75,1)</f>
        <v>19</v>
      </c>
      <c r="M1444" s="5"/>
      <c r="N1444" s="5"/>
      <c r="O1444" s="5">
        <f>Данные!B54+(-0.07)</f>
        <v>2.93</v>
      </c>
      <c r="P1444" s="5">
        <f>Данные!I54</f>
        <v>2</v>
      </c>
      <c r="Q1444" s="5"/>
    </row>
    <row r="1445" spans="1:17" x14ac:dyDescent="0.25">
      <c r="A1445" s="5"/>
      <c r="B1445" s="5"/>
      <c r="C1445" s="5"/>
      <c r="D1445" s="5"/>
      <c r="E1445" s="5"/>
      <c r="F1445" s="5"/>
      <c r="G1445" s="5"/>
      <c r="H1445" s="5"/>
      <c r="I1445" s="5"/>
      <c r="J1445" s="5"/>
      <c r="K1445" s="5">
        <f>_xlfn.RANK.AVG(Данные!B55,Данные!$B$2:$B$75,1)</f>
        <v>56.5</v>
      </c>
      <c r="L1445" s="5">
        <f>_xlfn.RANK.AVG(Данные!I55,Данные!$I$2:$I$75,1)</f>
        <v>40</v>
      </c>
      <c r="M1445" s="5"/>
      <c r="N1445" s="5"/>
      <c r="O1445" s="5">
        <f>Данные!B55+(-0.07)</f>
        <v>3.93</v>
      </c>
      <c r="P1445" s="5">
        <f>Данные!I55</f>
        <v>4</v>
      </c>
      <c r="Q1445" s="5"/>
    </row>
    <row r="1446" spans="1:17" x14ac:dyDescent="0.25">
      <c r="A1446" s="5"/>
      <c r="B1446" s="5"/>
      <c r="C1446" s="5"/>
      <c r="D1446" s="5"/>
      <c r="E1446" s="5"/>
      <c r="F1446" s="5"/>
      <c r="G1446" s="5"/>
      <c r="H1446" s="5"/>
      <c r="I1446" s="5"/>
      <c r="J1446" s="5"/>
      <c r="K1446" s="5">
        <f>_xlfn.RANK.AVG(Данные!B56,Данные!$B$2:$B$75,1)</f>
        <v>56.5</v>
      </c>
      <c r="L1446" s="5">
        <f>_xlfn.RANK.AVG(Данные!I56,Данные!$I$2:$I$75,1)</f>
        <v>19</v>
      </c>
      <c r="M1446" s="5"/>
      <c r="N1446" s="5"/>
      <c r="O1446" s="5">
        <f>Данные!B56+(-0.035)</f>
        <v>3.9649999999999999</v>
      </c>
      <c r="P1446" s="5">
        <f>Данные!I56</f>
        <v>2</v>
      </c>
      <c r="Q1446" s="5"/>
    </row>
    <row r="1447" spans="1:17" x14ac:dyDescent="0.25">
      <c r="A1447" s="5"/>
      <c r="B1447" s="5"/>
      <c r="C1447" s="5"/>
      <c r="D1447" s="5"/>
      <c r="E1447" s="5"/>
      <c r="F1447" s="5"/>
      <c r="G1447" s="5"/>
      <c r="H1447" s="5"/>
      <c r="I1447" s="5"/>
      <c r="J1447" s="5"/>
      <c r="K1447" s="5">
        <f>_xlfn.RANK.AVG(Данные!B57,Данные!$B$2:$B$75,1)</f>
        <v>56.5</v>
      </c>
      <c r="L1447" s="5">
        <f>_xlfn.RANK.AVG(Данные!I57,Данные!$I$2:$I$75,1)</f>
        <v>2.5</v>
      </c>
      <c r="M1447" s="5"/>
      <c r="N1447" s="5"/>
      <c r="O1447" s="5">
        <f>Данные!B57+(-0.105)</f>
        <v>3.895</v>
      </c>
      <c r="P1447" s="5">
        <f>Данные!I57</f>
        <v>0</v>
      </c>
      <c r="Q1447" s="5"/>
    </row>
    <row r="1448" spans="1:17" x14ac:dyDescent="0.25">
      <c r="A1448" s="5"/>
      <c r="B1448" s="5"/>
      <c r="C1448" s="5"/>
      <c r="D1448" s="5"/>
      <c r="E1448" s="5"/>
      <c r="F1448" s="5"/>
      <c r="G1448" s="5"/>
      <c r="H1448" s="5"/>
      <c r="I1448" s="5"/>
      <c r="J1448" s="5"/>
      <c r="K1448" s="5">
        <f>_xlfn.RANK.AVG(Данные!B58,Данные!$B$2:$B$75,1)</f>
        <v>56.5</v>
      </c>
      <c r="L1448" s="5">
        <f>_xlfn.RANK.AVG(Данные!I58,Данные!$I$2:$I$75,1)</f>
        <v>49</v>
      </c>
      <c r="M1448" s="5"/>
      <c r="N1448" s="5"/>
      <c r="O1448" s="5">
        <f>Данные!B58+(-0.07)</f>
        <v>3.93</v>
      </c>
      <c r="P1448" s="5">
        <f>Данные!I58</f>
        <v>5</v>
      </c>
      <c r="Q1448" s="5"/>
    </row>
    <row r="1449" spans="1:17" x14ac:dyDescent="0.25">
      <c r="A1449" s="5"/>
      <c r="B1449" s="5"/>
      <c r="C1449" s="5"/>
      <c r="D1449" s="5"/>
      <c r="E1449" s="5"/>
      <c r="F1449" s="5"/>
      <c r="G1449" s="5"/>
      <c r="H1449" s="5"/>
      <c r="I1449" s="5"/>
      <c r="J1449" s="5"/>
      <c r="K1449" s="5">
        <f>_xlfn.RANK.AVG(Данные!B59,Данные!$B$2:$B$75,1)</f>
        <v>56.5</v>
      </c>
      <c r="L1449" s="5">
        <f>_xlfn.RANK.AVG(Данные!I59,Данные!$I$2:$I$75,1)</f>
        <v>49</v>
      </c>
      <c r="M1449" s="5"/>
      <c r="N1449" s="5"/>
      <c r="O1449" s="5">
        <f>Данные!B59+(-0.035)</f>
        <v>3.9649999999999999</v>
      </c>
      <c r="P1449" s="5">
        <f>Данные!I59</f>
        <v>5</v>
      </c>
      <c r="Q1449" s="5"/>
    </row>
    <row r="1450" spans="1:17" x14ac:dyDescent="0.25">
      <c r="A1450" s="5"/>
      <c r="B1450" s="5"/>
      <c r="C1450" s="5"/>
      <c r="D1450" s="5"/>
      <c r="E1450" s="5"/>
      <c r="F1450" s="5"/>
      <c r="G1450" s="5"/>
      <c r="H1450" s="5"/>
      <c r="I1450" s="5"/>
      <c r="J1450" s="5"/>
      <c r="K1450" s="5">
        <f>_xlfn.RANK.AVG(Данные!B60,Данные!$B$2:$B$75,1)</f>
        <v>56.5</v>
      </c>
      <c r="L1450" s="5">
        <f>_xlfn.RANK.AVG(Данные!I60,Данные!$I$2:$I$75,1)</f>
        <v>2.5</v>
      </c>
      <c r="M1450" s="5"/>
      <c r="N1450" s="5"/>
      <c r="O1450" s="5">
        <f>Данные!B60+(-0.07)</f>
        <v>3.93</v>
      </c>
      <c r="P1450" s="5">
        <f>Данные!I60</f>
        <v>0</v>
      </c>
      <c r="Q1450" s="5"/>
    </row>
    <row r="1451" spans="1:17" x14ac:dyDescent="0.25">
      <c r="A1451" s="5"/>
      <c r="B1451" s="5"/>
      <c r="C1451" s="5"/>
      <c r="D1451" s="5"/>
      <c r="E1451" s="5"/>
      <c r="F1451" s="5"/>
      <c r="G1451" s="5"/>
      <c r="H1451" s="5"/>
      <c r="I1451" s="5"/>
      <c r="J1451" s="5"/>
      <c r="K1451" s="5">
        <f>_xlfn.RANK.AVG(Данные!B61,Данные!$B$2:$B$75,1)</f>
        <v>71.5</v>
      </c>
      <c r="L1451" s="5">
        <f>_xlfn.RANK.AVG(Данные!I61,Данные!$I$2:$I$75,1)</f>
        <v>72.5</v>
      </c>
      <c r="M1451" s="5"/>
      <c r="N1451" s="5"/>
      <c r="O1451" s="5">
        <f>Данные!B61+(-0.105)</f>
        <v>4.8949999999999996</v>
      </c>
      <c r="P1451" s="5">
        <f>Данные!I61</f>
        <v>11</v>
      </c>
      <c r="Q1451" s="5"/>
    </row>
    <row r="1452" spans="1:17" x14ac:dyDescent="0.25">
      <c r="A1452" s="5"/>
      <c r="B1452" s="5"/>
      <c r="C1452" s="5"/>
      <c r="D1452" s="5"/>
      <c r="E1452" s="5"/>
      <c r="F1452" s="5"/>
      <c r="G1452" s="5"/>
      <c r="H1452" s="5"/>
      <c r="I1452" s="5"/>
      <c r="J1452" s="5"/>
      <c r="K1452" s="5">
        <f>_xlfn.RANK.AVG(Данные!B62,Данные!$B$2:$B$75,1)</f>
        <v>56.5</v>
      </c>
      <c r="L1452" s="5">
        <f>_xlfn.RANK.AVG(Данные!I62,Данные!$I$2:$I$75,1)</f>
        <v>9</v>
      </c>
      <c r="M1452" s="5"/>
      <c r="N1452" s="5"/>
      <c r="O1452" s="5">
        <f>Данные!B62+(-0.105)</f>
        <v>3.895</v>
      </c>
      <c r="P1452" s="5">
        <f>Данные!I62</f>
        <v>1</v>
      </c>
      <c r="Q1452" s="5"/>
    </row>
    <row r="1453" spans="1:17" x14ac:dyDescent="0.25">
      <c r="A1453" s="5"/>
      <c r="B1453" s="5"/>
      <c r="C1453" s="5"/>
      <c r="D1453" s="5"/>
      <c r="E1453" s="5"/>
      <c r="F1453" s="5"/>
      <c r="G1453" s="5"/>
      <c r="H1453" s="5"/>
      <c r="I1453" s="5"/>
      <c r="J1453" s="5"/>
      <c r="K1453" s="5">
        <f>_xlfn.RANK.AVG(Данные!B63,Данные!$B$2:$B$75,1)</f>
        <v>56.5</v>
      </c>
      <c r="L1453" s="5">
        <f>_xlfn.RANK.AVG(Данные!I63,Данные!$I$2:$I$75,1)</f>
        <v>40</v>
      </c>
      <c r="M1453" s="5"/>
      <c r="N1453" s="5"/>
      <c r="O1453" s="5">
        <f>Данные!B63+(-0.035)</f>
        <v>3.9649999999999999</v>
      </c>
      <c r="P1453" s="5">
        <f>Данные!I63</f>
        <v>4</v>
      </c>
      <c r="Q1453" s="5"/>
    </row>
    <row r="1454" spans="1:17" x14ac:dyDescent="0.25">
      <c r="A1454" s="5"/>
      <c r="B1454" s="5"/>
      <c r="C1454" s="5"/>
      <c r="D1454" s="5"/>
      <c r="E1454" s="5"/>
      <c r="F1454" s="5"/>
      <c r="G1454" s="5"/>
      <c r="H1454" s="5"/>
      <c r="I1454" s="5"/>
      <c r="J1454" s="5"/>
      <c r="K1454" s="5">
        <f>_xlfn.RANK.AVG(Данные!B64,Данные!$B$2:$B$75,1)</f>
        <v>56.5</v>
      </c>
      <c r="L1454" s="5">
        <f>_xlfn.RANK.AVG(Данные!I64,Данные!$I$2:$I$75,1)</f>
        <v>30</v>
      </c>
      <c r="M1454" s="5"/>
      <c r="N1454" s="5"/>
      <c r="O1454" s="5">
        <f>Данные!B64+(-0.07)</f>
        <v>3.93</v>
      </c>
      <c r="P1454" s="5">
        <f>Данные!I64</f>
        <v>3</v>
      </c>
      <c r="Q1454" s="5"/>
    </row>
    <row r="1455" spans="1:17" x14ac:dyDescent="0.25">
      <c r="A1455" s="5"/>
      <c r="B1455" s="5"/>
      <c r="C1455" s="5"/>
      <c r="D1455" s="5"/>
      <c r="E1455" s="5"/>
      <c r="F1455" s="5"/>
      <c r="G1455" s="5"/>
      <c r="H1455" s="5"/>
      <c r="I1455" s="5"/>
      <c r="J1455" s="5"/>
      <c r="K1455" s="5">
        <f>_xlfn.RANK.AVG(Данные!B65,Данные!$B$2:$B$75,1)</f>
        <v>56.5</v>
      </c>
      <c r="L1455" s="5">
        <f>_xlfn.RANK.AVG(Данные!I65,Данные!$I$2:$I$75,1)</f>
        <v>30</v>
      </c>
      <c r="M1455" s="5"/>
      <c r="N1455" s="5"/>
      <c r="O1455" s="5">
        <f>Данные!B65+(-0.035)</f>
        <v>3.9649999999999999</v>
      </c>
      <c r="P1455" s="5">
        <f>Данные!I65</f>
        <v>3</v>
      </c>
      <c r="Q1455" s="5"/>
    </row>
    <row r="1456" spans="1:17" x14ac:dyDescent="0.25">
      <c r="A1456" s="5"/>
      <c r="B1456" s="5"/>
      <c r="C1456" s="5"/>
      <c r="D1456" s="5"/>
      <c r="E1456" s="5"/>
      <c r="F1456" s="5"/>
      <c r="G1456" s="5"/>
      <c r="H1456" s="5"/>
      <c r="I1456" s="5"/>
      <c r="J1456" s="5"/>
      <c r="K1456" s="5">
        <f>_xlfn.RANK.AVG(Данные!B66,Данные!$B$2:$B$75,1)</f>
        <v>56.5</v>
      </c>
      <c r="L1456" s="5">
        <f>_xlfn.RANK.AVG(Данные!I66,Данные!$I$2:$I$75,1)</f>
        <v>9</v>
      </c>
      <c r="M1456" s="5"/>
      <c r="N1456" s="5"/>
      <c r="O1456" s="5">
        <f>Данные!B66+(-0.07)</f>
        <v>3.93</v>
      </c>
      <c r="P1456" s="5">
        <f>Данные!I66</f>
        <v>1</v>
      </c>
      <c r="Q1456" s="5"/>
    </row>
    <row r="1457" spans="1:17" x14ac:dyDescent="0.25">
      <c r="A1457" s="5"/>
      <c r="B1457" s="5"/>
      <c r="C1457" s="5"/>
      <c r="D1457" s="5"/>
      <c r="E1457" s="5"/>
      <c r="F1457" s="5"/>
      <c r="G1457" s="5"/>
      <c r="H1457" s="5"/>
      <c r="I1457" s="5"/>
      <c r="J1457" s="5"/>
      <c r="K1457" s="5">
        <f>_xlfn.RANK.AVG(Данные!B67,Данные!$B$2:$B$75,1)</f>
        <v>71.5</v>
      </c>
      <c r="L1457" s="5">
        <f>_xlfn.RANK.AVG(Данные!I67,Данные!$I$2:$I$75,1)</f>
        <v>49</v>
      </c>
      <c r="M1457" s="5"/>
      <c r="N1457" s="5"/>
      <c r="O1457" s="5">
        <f>Данные!B67+(-0.105)</f>
        <v>4.8949999999999996</v>
      </c>
      <c r="P1457" s="5">
        <f>Данные!I67</f>
        <v>5</v>
      </c>
      <c r="Q1457" s="5"/>
    </row>
    <row r="1458" spans="1:17" x14ac:dyDescent="0.25">
      <c r="A1458" s="5"/>
      <c r="B1458" s="5"/>
      <c r="C1458" s="5"/>
      <c r="D1458" s="5"/>
      <c r="E1458" s="5"/>
      <c r="F1458" s="5"/>
      <c r="G1458" s="5"/>
      <c r="H1458" s="5"/>
      <c r="I1458" s="5"/>
      <c r="J1458" s="5"/>
      <c r="K1458" s="5">
        <f>_xlfn.RANK.AVG(Данные!B68,Данные!$B$2:$B$75,1)</f>
        <v>71.5</v>
      </c>
      <c r="L1458" s="5">
        <f>_xlfn.RANK.AVG(Данные!I68,Данные!$I$2:$I$75,1)</f>
        <v>9</v>
      </c>
      <c r="M1458" s="5"/>
      <c r="N1458" s="5"/>
      <c r="O1458" s="5">
        <f>Данные!B68+(-0.105)</f>
        <v>4.8949999999999996</v>
      </c>
      <c r="P1458" s="5">
        <f>Данные!I68</f>
        <v>1</v>
      </c>
      <c r="Q1458" s="5"/>
    </row>
    <row r="1459" spans="1:17" x14ac:dyDescent="0.25">
      <c r="A1459" s="5"/>
      <c r="B1459" s="5"/>
      <c r="C1459" s="5"/>
      <c r="D1459" s="5"/>
      <c r="E1459" s="5"/>
      <c r="F1459" s="5"/>
      <c r="G1459" s="5"/>
      <c r="H1459" s="5"/>
      <c r="I1459" s="5"/>
      <c r="J1459" s="5"/>
      <c r="K1459" s="5">
        <f>_xlfn.RANK.AVG(Данные!B69,Данные!$B$2:$B$75,1)</f>
        <v>56.5</v>
      </c>
      <c r="L1459" s="5">
        <f>_xlfn.RANK.AVG(Данные!I69,Данные!$I$2:$I$75,1)</f>
        <v>19</v>
      </c>
      <c r="M1459" s="5"/>
      <c r="N1459" s="5"/>
      <c r="O1459" s="5">
        <f>Данные!B69+(0)</f>
        <v>4</v>
      </c>
      <c r="P1459" s="5">
        <f>Данные!I69</f>
        <v>2</v>
      </c>
      <c r="Q1459" s="5"/>
    </row>
    <row r="1460" spans="1:17" x14ac:dyDescent="0.25">
      <c r="A1460" s="5"/>
      <c r="B1460" s="5"/>
      <c r="C1460" s="5"/>
      <c r="D1460" s="5"/>
      <c r="E1460" s="5"/>
      <c r="F1460" s="5"/>
      <c r="G1460" s="5"/>
      <c r="H1460" s="5"/>
      <c r="I1460" s="5"/>
      <c r="J1460" s="5"/>
      <c r="K1460" s="5">
        <f>_xlfn.RANK.AVG(Данные!B70,Данные!$B$2:$B$75,1)</f>
        <v>56.5</v>
      </c>
      <c r="L1460" s="5">
        <f>_xlfn.RANK.AVG(Данные!I70,Данные!$I$2:$I$75,1)</f>
        <v>19</v>
      </c>
      <c r="M1460" s="5"/>
      <c r="N1460" s="5"/>
      <c r="O1460" s="5">
        <f>Данные!B70+(0.035)</f>
        <v>4.0350000000000001</v>
      </c>
      <c r="P1460" s="5">
        <f>Данные!I70</f>
        <v>2</v>
      </c>
      <c r="Q1460" s="5"/>
    </row>
    <row r="1461" spans="1:17" x14ac:dyDescent="0.25">
      <c r="A1461" s="5"/>
      <c r="B1461" s="5"/>
      <c r="C1461" s="5"/>
      <c r="D1461" s="5"/>
      <c r="E1461" s="5"/>
      <c r="F1461" s="5"/>
      <c r="G1461" s="5"/>
      <c r="H1461" s="5"/>
      <c r="I1461" s="5"/>
      <c r="J1461" s="5"/>
      <c r="K1461" s="5">
        <f>_xlfn.RANK.AVG(Данные!B71,Данные!$B$2:$B$75,1)</f>
        <v>71.5</v>
      </c>
      <c r="L1461" s="5">
        <f>_xlfn.RANK.AVG(Данные!I71,Данные!$I$2:$I$75,1)</f>
        <v>40</v>
      </c>
      <c r="M1461" s="5"/>
      <c r="N1461" s="5"/>
      <c r="O1461" s="5">
        <f>Данные!B71+(-0.105)</f>
        <v>4.8949999999999996</v>
      </c>
      <c r="P1461" s="5">
        <f>Данные!I71</f>
        <v>4</v>
      </c>
      <c r="Q1461" s="5"/>
    </row>
    <row r="1462" spans="1:17" x14ac:dyDescent="0.25">
      <c r="A1462" s="5"/>
      <c r="B1462" s="5"/>
      <c r="C1462" s="5"/>
      <c r="D1462" s="5"/>
      <c r="E1462" s="5"/>
      <c r="F1462" s="5"/>
      <c r="G1462" s="5"/>
      <c r="H1462" s="5"/>
      <c r="I1462" s="5"/>
      <c r="J1462" s="5"/>
      <c r="K1462" s="5">
        <f>_xlfn.RANK.AVG(Данные!B72,Данные!$B$2:$B$75,1)</f>
        <v>71.5</v>
      </c>
      <c r="L1462" s="5">
        <f>_xlfn.RANK.AVG(Данные!I72,Данные!$I$2:$I$75,1)</f>
        <v>40</v>
      </c>
      <c r="M1462" s="5"/>
      <c r="N1462" s="5"/>
      <c r="O1462" s="5">
        <f>Данные!B72+(-0.07)</f>
        <v>4.93</v>
      </c>
      <c r="P1462" s="5">
        <f>Данные!I72</f>
        <v>4</v>
      </c>
      <c r="Q1462" s="5"/>
    </row>
    <row r="1463" spans="1:17" x14ac:dyDescent="0.25">
      <c r="A1463" s="5"/>
      <c r="B1463" s="5"/>
      <c r="C1463" s="5"/>
      <c r="D1463" s="5"/>
      <c r="E1463" s="5"/>
      <c r="F1463" s="5"/>
      <c r="G1463" s="5"/>
      <c r="H1463" s="5"/>
      <c r="I1463" s="5"/>
      <c r="J1463" s="5"/>
      <c r="K1463" s="5">
        <f>_xlfn.RANK.AVG(Данные!B73,Данные!$B$2:$B$75,1)</f>
        <v>71.5</v>
      </c>
      <c r="L1463" s="5">
        <f>_xlfn.RANK.AVG(Данные!I73,Данные!$I$2:$I$75,1)</f>
        <v>66</v>
      </c>
      <c r="M1463" s="5"/>
      <c r="N1463" s="5"/>
      <c r="O1463" s="5">
        <f>Данные!B73+(-0.105)</f>
        <v>4.8949999999999996</v>
      </c>
      <c r="P1463" s="5">
        <f>Данные!I73</f>
        <v>8</v>
      </c>
      <c r="Q1463" s="5"/>
    </row>
    <row r="1464" spans="1:17" x14ac:dyDescent="0.25">
      <c r="A1464" s="5"/>
      <c r="B1464" s="5"/>
      <c r="C1464" s="5"/>
      <c r="D1464" s="5"/>
      <c r="E1464" s="5"/>
      <c r="F1464" s="5"/>
      <c r="G1464" s="5"/>
      <c r="H1464" s="5"/>
      <c r="I1464" s="5"/>
      <c r="J1464" s="5"/>
      <c r="K1464" s="5">
        <f>_xlfn.RANK.AVG(Данные!B74,Данные!$B$2:$B$75,1)</f>
        <v>56.5</v>
      </c>
      <c r="L1464" s="5">
        <f>_xlfn.RANK.AVG(Данные!I74,Данные!$I$2:$I$75,1)</f>
        <v>19</v>
      </c>
      <c r="M1464" s="5"/>
      <c r="N1464" s="5"/>
      <c r="O1464" s="5">
        <f>Данные!B74+(0.07)</f>
        <v>4.07</v>
      </c>
      <c r="P1464" s="5">
        <f>Данные!I74</f>
        <v>2</v>
      </c>
      <c r="Q1464" s="5"/>
    </row>
    <row r="1465" spans="1:17" x14ac:dyDescent="0.25">
      <c r="A1465" s="5"/>
      <c r="B1465" s="5"/>
      <c r="C1465" s="5"/>
      <c r="D1465" s="5"/>
      <c r="E1465" s="5"/>
      <c r="F1465" s="5"/>
      <c r="G1465" s="5"/>
      <c r="H1465" s="5"/>
      <c r="I1465" s="5"/>
      <c r="J1465" s="5"/>
      <c r="K1465" s="5">
        <f>_xlfn.RANK.AVG(Данные!B75,Данные!$B$2:$B$75,1)</f>
        <v>56.5</v>
      </c>
      <c r="L1465" s="5">
        <f>_xlfn.RANK.AVG(Данные!I75,Данные!$I$2:$I$75,1)</f>
        <v>19</v>
      </c>
      <c r="M1465" s="5"/>
      <c r="N1465" s="5"/>
      <c r="O1465" s="5">
        <f>Данные!B75+(0.105)</f>
        <v>4.1050000000000004</v>
      </c>
      <c r="P1465" s="5">
        <f>Данные!I75</f>
        <v>2</v>
      </c>
      <c r="Q1465" s="5"/>
    </row>
    <row r="1466" spans="1:17" x14ac:dyDescent="0.25">
      <c r="A1466" s="5"/>
      <c r="B1466" s="5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  <c r="O1466" s="5"/>
      <c r="P1466" s="5"/>
      <c r="Q1466" s="5"/>
    </row>
    <row r="1467" spans="1:17" x14ac:dyDescent="0.25">
      <c r="A1467" s="5"/>
      <c r="B1467" s="5"/>
      <c r="C1467" s="5"/>
      <c r="D1467" s="5"/>
      <c r="E1467" s="5"/>
      <c r="F1467" s="5"/>
      <c r="G1467" s="5"/>
      <c r="H1467" s="5"/>
      <c r="I1467" s="5"/>
      <c r="J1467" s="5"/>
      <c r="K1467" s="5"/>
      <c r="L1467" s="5"/>
      <c r="M1467" s="5"/>
      <c r="N1467" s="5"/>
      <c r="O1467" s="5"/>
      <c r="P1467" s="5"/>
      <c r="Q1467" s="5"/>
    </row>
    <row r="1468" spans="1:17" x14ac:dyDescent="0.25">
      <c r="A1468" s="5"/>
      <c r="B1468" s="5"/>
      <c r="C1468" s="5"/>
      <c r="D1468" s="5"/>
      <c r="E1468" s="5"/>
      <c r="F1468" s="5"/>
      <c r="G1468" s="5"/>
      <c r="H1468" s="5"/>
      <c r="I1468" s="5"/>
      <c r="J1468" s="5"/>
      <c r="K1468" s="5"/>
      <c r="L1468" s="5"/>
      <c r="M1468" s="5"/>
      <c r="N1468" s="5"/>
      <c r="O1468" s="5"/>
      <c r="P1468" s="5"/>
      <c r="Q1468" s="5"/>
    </row>
    <row r="1469" spans="1:17" x14ac:dyDescent="0.25">
      <c r="A1469" s="5"/>
      <c r="B1469" s="5"/>
      <c r="C1469" s="5"/>
      <c r="D1469" s="5"/>
      <c r="E1469" s="5"/>
      <c r="F1469" s="5"/>
      <c r="G1469" s="5"/>
      <c r="H1469" s="5"/>
      <c r="I1469" s="5"/>
      <c r="J1469" s="5"/>
      <c r="K1469" s="5"/>
      <c r="L1469" s="5"/>
      <c r="M1469" s="5"/>
      <c r="N1469" s="5"/>
      <c r="O1469" s="5"/>
      <c r="P1469" s="5"/>
      <c r="Q1469" s="5"/>
    </row>
    <row r="1470" spans="1:17" x14ac:dyDescent="0.25">
      <c r="A1470" s="5"/>
      <c r="B1470" s="5"/>
      <c r="C1470" s="5"/>
      <c r="D1470" s="5" t="s">
        <v>51</v>
      </c>
      <c r="E1470" s="5">
        <v>1</v>
      </c>
      <c r="F1470" s="5">
        <v>2</v>
      </c>
      <c r="G1470" s="5">
        <v>3</v>
      </c>
      <c r="H1470" s="5">
        <v>4</v>
      </c>
      <c r="I1470" s="5">
        <v>5</v>
      </c>
      <c r="J1470" s="5"/>
      <c r="K1470" s="5"/>
      <c r="L1470" s="5"/>
      <c r="M1470" s="5"/>
      <c r="N1470" s="5"/>
      <c r="O1470" s="5"/>
      <c r="P1470" s="5"/>
      <c r="Q1470" s="5"/>
    </row>
    <row r="1471" spans="1:17" x14ac:dyDescent="0.25">
      <c r="A1471" s="5"/>
      <c r="B1471" s="5"/>
      <c r="C1471" s="5"/>
      <c r="D1471" s="5" t="s">
        <v>58</v>
      </c>
      <c r="E1471" s="5">
        <f>COUNT(E1392:E1398)</f>
        <v>7</v>
      </c>
      <c r="F1471" s="5">
        <f>COUNT(F1392:F1403)</f>
        <v>12</v>
      </c>
      <c r="G1471" s="5">
        <f>COUNT(G1392:G1416)</f>
        <v>25</v>
      </c>
      <c r="H1471" s="5">
        <f>COUNT(H1392:H1415)</f>
        <v>24</v>
      </c>
      <c r="I1471" s="5">
        <f>COUNT(I1392:I1397)</f>
        <v>6</v>
      </c>
      <c r="J1471" s="5"/>
      <c r="K1471" s="5"/>
      <c r="L1471" s="5"/>
      <c r="M1471" s="5"/>
      <c r="N1471" s="5"/>
      <c r="O1471" s="5"/>
      <c r="P1471" s="5"/>
      <c r="Q1471" s="5"/>
    </row>
    <row r="1472" spans="1:17" x14ac:dyDescent="0.25">
      <c r="A1472" s="5"/>
      <c r="B1472" s="5"/>
      <c r="C1472" s="5"/>
      <c r="D1472" s="5" t="s">
        <v>59</v>
      </c>
      <c r="E1472" s="9">
        <f>AVERAGE(E1392:E1398)</f>
        <v>4.7142857142857144</v>
      </c>
      <c r="F1472" s="9">
        <f>AVERAGE(F1392:F1403)</f>
        <v>5</v>
      </c>
      <c r="G1472" s="9">
        <f>AVERAGE(G1392:G1416)</f>
        <v>3.84</v>
      </c>
      <c r="H1472" s="9">
        <f>AVERAGE(H1392:H1415)</f>
        <v>3.7083333333333335</v>
      </c>
      <c r="I1472" s="9">
        <f>AVERAGE(I1392:I1397)</f>
        <v>5.5</v>
      </c>
      <c r="J1472" s="5"/>
      <c r="K1472" s="5"/>
      <c r="L1472" s="5"/>
      <c r="M1472" s="5"/>
      <c r="N1472" s="5"/>
      <c r="O1472" s="5"/>
      <c r="P1472" s="5"/>
      <c r="Q1472" s="5"/>
    </row>
    <row r="1473" spans="1:17" x14ac:dyDescent="0.25">
      <c r="A1473" s="5"/>
      <c r="B1473" s="5"/>
      <c r="C1473" s="5"/>
      <c r="D1473" s="5" t="s">
        <v>60</v>
      </c>
      <c r="E1473" s="9">
        <f>_xlfn.QUARTILE.INC(E1392:E1398,1)</f>
        <v>3</v>
      </c>
      <c r="F1473" s="9">
        <f>_xlfn.QUARTILE.INC(F1392:F1403,1)</f>
        <v>4</v>
      </c>
      <c r="G1473" s="9">
        <f>_xlfn.QUARTILE.INC(G1392:G1416,1)</f>
        <v>1</v>
      </c>
      <c r="H1473" s="9">
        <f>_xlfn.QUARTILE.INC(H1392:H1415,1)</f>
        <v>2</v>
      </c>
      <c r="I1473" s="9">
        <f>_xlfn.QUARTILE.INC(I1392:I1397,1)</f>
        <v>4</v>
      </c>
      <c r="J1473" s="5"/>
      <c r="K1473" s="5"/>
      <c r="L1473" s="5"/>
      <c r="M1473" s="5"/>
      <c r="N1473" s="5"/>
      <c r="O1473" s="5"/>
      <c r="P1473" s="5"/>
      <c r="Q1473" s="5"/>
    </row>
    <row r="1474" spans="1:17" x14ac:dyDescent="0.25">
      <c r="A1474" s="5"/>
      <c r="B1474" s="5"/>
      <c r="C1474" s="5"/>
      <c r="D1474" s="5" t="s">
        <v>61</v>
      </c>
      <c r="E1474" s="9">
        <f>MEDIAN(E1392:E1398)</f>
        <v>3</v>
      </c>
      <c r="F1474" s="9">
        <f>MEDIAN(F1392:F1403)</f>
        <v>5</v>
      </c>
      <c r="G1474" s="9">
        <f>MEDIAN(G1392:G1416)</f>
        <v>3</v>
      </c>
      <c r="H1474" s="9">
        <f>MEDIAN(H1392:H1415)</f>
        <v>3</v>
      </c>
      <c r="I1474" s="9">
        <f>MEDIAN(I1392:I1397)</f>
        <v>4.5</v>
      </c>
      <c r="J1474" s="5"/>
      <c r="K1474" s="5"/>
      <c r="L1474" s="5"/>
      <c r="M1474" s="5"/>
      <c r="N1474" s="5"/>
      <c r="O1474" s="5"/>
      <c r="P1474" s="5"/>
      <c r="Q1474" s="5"/>
    </row>
    <row r="1475" spans="1:17" x14ac:dyDescent="0.25">
      <c r="A1475" s="5"/>
      <c r="B1475" s="5"/>
      <c r="C1475" s="5"/>
      <c r="D1475" s="5" t="s">
        <v>62</v>
      </c>
      <c r="E1475" s="9">
        <f>_xlfn.QUARTILE.INC(E1392:E1398,3)</f>
        <v>5.5</v>
      </c>
      <c r="F1475" s="9">
        <f>_xlfn.QUARTILE.INC(F1392:F1403,3)</f>
        <v>6</v>
      </c>
      <c r="G1475" s="9">
        <f>_xlfn.QUARTILE.INC(G1392:G1416,3)</f>
        <v>6</v>
      </c>
      <c r="H1475" s="9">
        <f>_xlfn.QUARTILE.INC(H1392:H1415,3)</f>
        <v>5</v>
      </c>
      <c r="I1475" s="9">
        <f>_xlfn.QUARTILE.INC(I1392:I1397,3)</f>
        <v>7.25</v>
      </c>
      <c r="J1475" s="5"/>
      <c r="K1475" s="5"/>
      <c r="L1475" s="5"/>
      <c r="M1475" s="5"/>
      <c r="N1475" s="5"/>
      <c r="O1475" s="5"/>
      <c r="P1475" s="5"/>
      <c r="Q1475" s="5"/>
    </row>
    <row r="1476" spans="1:17" x14ac:dyDescent="0.25">
      <c r="A1476" s="5"/>
      <c r="B1476" s="5"/>
      <c r="C1476" s="5"/>
      <c r="D1476" s="5" t="s">
        <v>63</v>
      </c>
      <c r="E1476" s="9">
        <f>E1475-E1473</f>
        <v>2.5</v>
      </c>
      <c r="F1476" s="9">
        <f>F1475-F1473</f>
        <v>2</v>
      </c>
      <c r="G1476" s="9">
        <f>G1475-G1473</f>
        <v>5</v>
      </c>
      <c r="H1476" s="9">
        <f>H1475-H1473</f>
        <v>3</v>
      </c>
      <c r="I1476" s="9">
        <f>I1475-I1473</f>
        <v>3.25</v>
      </c>
      <c r="J1476" s="5"/>
      <c r="K1476" s="5"/>
      <c r="L1476" s="5"/>
      <c r="M1476" s="5"/>
      <c r="N1476" s="5"/>
      <c r="O1476" s="5"/>
      <c r="P1476" s="5"/>
      <c r="Q1476" s="5"/>
    </row>
    <row r="1477" spans="1:17" x14ac:dyDescent="0.25">
      <c r="A1477" s="5"/>
      <c r="B1477" s="5"/>
      <c r="C1477" s="5"/>
      <c r="D1477" s="5" t="s">
        <v>64</v>
      </c>
      <c r="E1477" s="9">
        <f>E1473-1.5*E1476</f>
        <v>-0.75</v>
      </c>
      <c r="F1477" s="9">
        <f>F1473-1.5*F1476</f>
        <v>1</v>
      </c>
      <c r="G1477" s="9">
        <f>G1473-1.5*G1476</f>
        <v>-6.5</v>
      </c>
      <c r="H1477" s="9">
        <f>H1473-1.5*H1476</f>
        <v>-2.5</v>
      </c>
      <c r="I1477" s="9">
        <f>I1473-1.5*I1476</f>
        <v>-0.875</v>
      </c>
      <c r="J1477" s="5"/>
      <c r="K1477" s="5"/>
      <c r="L1477" s="5"/>
      <c r="M1477" s="5"/>
      <c r="N1477" s="5"/>
      <c r="O1477" s="5"/>
      <c r="P1477" s="5"/>
      <c r="Q1477" s="5"/>
    </row>
    <row r="1478" spans="1:17" x14ac:dyDescent="0.25">
      <c r="A1478" s="5"/>
      <c r="B1478" s="5"/>
      <c r="C1478" s="5"/>
      <c r="D1478" s="5" t="s">
        <v>65</v>
      </c>
      <c r="E1478" s="9">
        <f>E1475+1.5*E1476</f>
        <v>9.25</v>
      </c>
      <c r="F1478" s="9">
        <f>F1475+1.5*F1476</f>
        <v>9</v>
      </c>
      <c r="G1478" s="9">
        <f>G1475+1.5*G1476</f>
        <v>13.5</v>
      </c>
      <c r="H1478" s="9">
        <f>H1475+1.5*H1476</f>
        <v>9.5</v>
      </c>
      <c r="I1478" s="9">
        <f>I1475+1.5*I1476</f>
        <v>12.125</v>
      </c>
      <c r="J1478" s="5"/>
      <c r="K1478" s="5"/>
      <c r="L1478" s="5"/>
      <c r="M1478" s="5"/>
      <c r="N1478" s="5"/>
      <c r="O1478" s="5"/>
      <c r="P1478" s="5"/>
      <c r="Q1478" s="5"/>
    </row>
    <row r="1479" spans="1:17" x14ac:dyDescent="0.25">
      <c r="A1479" s="5"/>
      <c r="B1479" s="5"/>
      <c r="C1479" s="5"/>
      <c r="D1479" s="5" t="s">
        <v>66</v>
      </c>
      <c r="E1479" s="9">
        <f>_xlfn.MINIFS(E1392:E1398,E1392:E1398,"&gt;="&amp;E1477)</f>
        <v>2</v>
      </c>
      <c r="F1479" s="9">
        <f>_xlfn.MINIFS(F1392:F1403,F1392:F1403,"&gt;="&amp;F1477)</f>
        <v>1</v>
      </c>
      <c r="G1479" s="9">
        <f>_xlfn.MINIFS(G1392:G1416,G1392:G1416,"&gt;="&amp;G1477)</f>
        <v>0</v>
      </c>
      <c r="H1479" s="9">
        <f>_xlfn.MINIFS(H1392:H1415,H1392:H1415,"&gt;="&amp;H1477)</f>
        <v>0</v>
      </c>
      <c r="I1479" s="9">
        <f>_xlfn.MINIFS(I1392:I1397,I1392:I1397,"&gt;="&amp;I1477)</f>
        <v>1</v>
      </c>
      <c r="J1479" s="5"/>
      <c r="K1479" s="5"/>
      <c r="L1479" s="5"/>
      <c r="M1479" s="5"/>
      <c r="N1479" s="5"/>
      <c r="O1479" s="5"/>
      <c r="P1479" s="5"/>
      <c r="Q1479" s="5"/>
    </row>
    <row r="1480" spans="1:17" x14ac:dyDescent="0.25">
      <c r="A1480" s="5"/>
      <c r="B1480" s="5"/>
      <c r="C1480" s="5"/>
      <c r="D1480" s="5" t="s">
        <v>67</v>
      </c>
      <c r="E1480" s="9">
        <f>_xlfn.MAXIFS(E1392:E1398,E1392:E1398,"&lt;="&amp;E1478)</f>
        <v>6</v>
      </c>
      <c r="F1480" s="9">
        <f>_xlfn.MAXIFS(F1392:F1403,F1392:F1403,"&lt;="&amp;F1478)</f>
        <v>9</v>
      </c>
      <c r="G1480" s="9">
        <f>_xlfn.MAXIFS(G1392:G1416,G1392:G1416,"&lt;="&amp;G1478)</f>
        <v>10</v>
      </c>
      <c r="H1480" s="9">
        <f>_xlfn.MAXIFS(H1392:H1415,H1392:H1415,"&lt;="&amp;H1478)</f>
        <v>9</v>
      </c>
      <c r="I1480" s="9">
        <f>_xlfn.MAXIFS(I1392:I1397,I1392:I1397,"&lt;="&amp;I1478)</f>
        <v>11</v>
      </c>
      <c r="J1480" s="5"/>
      <c r="K1480" s="5"/>
      <c r="L1480" s="5"/>
      <c r="M1480" s="5"/>
      <c r="N1480" s="5"/>
      <c r="O1480" s="5"/>
      <c r="P1480" s="5"/>
      <c r="Q1480" s="5"/>
    </row>
    <row r="1481" spans="1:17" x14ac:dyDescent="0.25">
      <c r="A1481" s="5"/>
      <c r="B1481" s="5"/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  <c r="O1481" s="5"/>
      <c r="P1481" s="5"/>
      <c r="Q1481" s="5"/>
    </row>
    <row r="1482" spans="1:17" x14ac:dyDescent="0.25">
      <c r="A1482" s="5"/>
      <c r="B1482" s="5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  <c r="O1482" s="5"/>
      <c r="P1482" s="5"/>
      <c r="Q1482" s="5"/>
    </row>
    <row r="1483" spans="1:17" x14ac:dyDescent="0.25">
      <c r="A1483" s="5"/>
      <c r="B1483" s="5"/>
      <c r="C1483" s="5"/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  <c r="O1483" s="5"/>
      <c r="P1483" s="5"/>
      <c r="Q1483" s="5"/>
    </row>
    <row r="1484" spans="1:17" x14ac:dyDescent="0.25">
      <c r="A1484" s="5"/>
      <c r="B1484" s="5"/>
      <c r="C1484" s="5"/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5"/>
      <c r="O1484" s="5"/>
      <c r="P1484" s="5"/>
      <c r="Q1484" s="5"/>
    </row>
    <row r="1485" spans="1:17" x14ac:dyDescent="0.25">
      <c r="A1485" s="5"/>
      <c r="B1485" s="5" t="str">
        <f>Спирман_графики!D199&amp;CHAR(10)&amp;Спирман_графики!B201</f>
        <v>ТК4 в зависимости от Л1
ρ = −0,102; p = 0,3880; n = 74</v>
      </c>
      <c r="C1485" s="5"/>
      <c r="D1485" s="5"/>
      <c r="E1485" s="5"/>
      <c r="F1485" s="5"/>
      <c r="G1485" s="5"/>
      <c r="H1485" s="5"/>
      <c r="I1485" s="5"/>
      <c r="J1485" s="5"/>
      <c r="K1485" s="5"/>
      <c r="L1485" s="5"/>
      <c r="M1485" s="5"/>
      <c r="N1485" s="5"/>
      <c r="O1485" s="5"/>
      <c r="P1485" s="5"/>
      <c r="Q1485" s="5"/>
    </row>
    <row r="1486" spans="1:17" x14ac:dyDescent="0.25">
      <c r="A1486" s="5"/>
      <c r="B1486" s="5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  <c r="O1486" s="5"/>
      <c r="P1486" s="5"/>
      <c r="Q1486" s="5"/>
    </row>
    <row r="1487" spans="1:17" x14ac:dyDescent="0.25">
      <c r="A1487" s="5"/>
      <c r="B1487" s="5"/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  <c r="O1487" s="5"/>
      <c r="P1487" s="5"/>
      <c r="Q1487" s="5"/>
    </row>
    <row r="1488" spans="1:17" x14ac:dyDescent="0.25">
      <c r="A1488" s="5"/>
      <c r="B1488" s="5"/>
      <c r="C1488" s="5"/>
      <c r="D1488" s="5"/>
      <c r="E1488" s="5"/>
      <c r="F1488" s="5"/>
      <c r="G1488" s="5"/>
      <c r="H1488" s="5"/>
      <c r="I1488" s="5"/>
      <c r="J1488" s="5"/>
      <c r="K1488" s="5"/>
      <c r="L1488" s="5"/>
      <c r="M1488" s="5"/>
      <c r="N1488" s="5"/>
      <c r="O1488" s="5"/>
      <c r="P1488" s="5"/>
      <c r="Q1488" s="5"/>
    </row>
    <row r="1489" spans="1:22" x14ac:dyDescent="0.25">
      <c r="A1489" s="5"/>
      <c r="B1489" s="5"/>
      <c r="C1489" s="5"/>
      <c r="D1489" s="5"/>
      <c r="E1489" s="5"/>
      <c r="F1489" s="5"/>
      <c r="G1489" s="5"/>
      <c r="H1489" s="5"/>
      <c r="I1489" s="5"/>
      <c r="J1489" s="5"/>
      <c r="K1489" s="5"/>
      <c r="L1489" s="5"/>
      <c r="M1489" s="5"/>
      <c r="N1489" s="5"/>
      <c r="O1489" s="5"/>
      <c r="P1489" s="5"/>
      <c r="Q1489" s="5"/>
      <c r="U1489" t="s">
        <v>68</v>
      </c>
    </row>
    <row r="1490" spans="1:22" x14ac:dyDescent="0.25">
      <c r="A1490" s="5">
        <v>0.75</v>
      </c>
      <c r="B1490" s="5">
        <f>E1473</f>
        <v>3</v>
      </c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  <c r="O1490" s="5"/>
      <c r="P1490" s="5"/>
      <c r="Q1490" s="5"/>
      <c r="U1490">
        <f>A1496</f>
        <v>0.75</v>
      </c>
      <c r="V1490">
        <f>B1496</f>
        <v>3</v>
      </c>
    </row>
    <row r="1491" spans="1:22" x14ac:dyDescent="0.25">
      <c r="A1491" s="5">
        <v>1.25</v>
      </c>
      <c r="B1491" s="5">
        <f>E1473</f>
        <v>3</v>
      </c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  <c r="O1491" s="5"/>
      <c r="P1491" s="5"/>
      <c r="Q1491" s="5"/>
      <c r="U1491">
        <f>A1497</f>
        <v>1.25</v>
      </c>
      <c r="V1491">
        <f>B1497</f>
        <v>3</v>
      </c>
    </row>
    <row r="1492" spans="1:22" x14ac:dyDescent="0.25">
      <c r="A1492" s="5">
        <v>1.25</v>
      </c>
      <c r="B1492" s="5">
        <f>E1475</f>
        <v>5.5</v>
      </c>
      <c r="C1492" s="5"/>
      <c r="D1492" s="5"/>
      <c r="E1492" s="5"/>
      <c r="F1492" s="5"/>
      <c r="G1492" s="5"/>
      <c r="H1492" s="5"/>
      <c r="I1492" s="5"/>
      <c r="J1492" s="5"/>
      <c r="K1492" s="5"/>
      <c r="L1492" s="5"/>
      <c r="M1492" s="5"/>
      <c r="N1492" s="5"/>
      <c r="O1492" s="5"/>
      <c r="P1492" s="5"/>
      <c r="Q1492" s="5"/>
    </row>
    <row r="1493" spans="1:22" x14ac:dyDescent="0.25">
      <c r="A1493" s="5">
        <v>0.75</v>
      </c>
      <c r="B1493" s="5">
        <f>E1475</f>
        <v>5.5</v>
      </c>
      <c r="C1493" s="5"/>
      <c r="D1493" s="5"/>
      <c r="E1493" s="5"/>
      <c r="F1493" s="5"/>
      <c r="G1493" s="5"/>
      <c r="H1493" s="5"/>
      <c r="I1493" s="5"/>
      <c r="J1493" s="5"/>
      <c r="K1493" s="5"/>
      <c r="L1493" s="5"/>
      <c r="M1493" s="5"/>
      <c r="N1493" s="5"/>
      <c r="O1493" s="5"/>
      <c r="P1493" s="5"/>
      <c r="Q1493" s="5"/>
      <c r="U1493">
        <f>A1515</f>
        <v>1.75</v>
      </c>
      <c r="V1493">
        <f>B1515</f>
        <v>5</v>
      </c>
    </row>
    <row r="1494" spans="1:22" x14ac:dyDescent="0.25">
      <c r="A1494" s="5">
        <v>0.75</v>
      </c>
      <c r="B1494" s="5">
        <f>E1473</f>
        <v>3</v>
      </c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  <c r="O1494" s="5"/>
      <c r="P1494" s="5"/>
      <c r="Q1494" s="5"/>
      <c r="U1494">
        <f>A1516</f>
        <v>2.25</v>
      </c>
      <c r="V1494">
        <f>B1516</f>
        <v>5</v>
      </c>
    </row>
    <row r="1495" spans="1:22" x14ac:dyDescent="0.25">
      <c r="A1495" s="5"/>
      <c r="B1495" s="5"/>
      <c r="C1495" s="5"/>
      <c r="D1495" s="5"/>
      <c r="E1495" s="5"/>
      <c r="F1495" s="5"/>
      <c r="G1495" s="5"/>
      <c r="H1495" s="5"/>
      <c r="I1495" s="5"/>
      <c r="J1495" s="5"/>
      <c r="K1495" s="5"/>
      <c r="L1495" s="5"/>
      <c r="M1495" s="5"/>
      <c r="N1495" s="5"/>
      <c r="O1495" s="5"/>
      <c r="P1495" s="5"/>
      <c r="Q1495" s="5"/>
    </row>
    <row r="1496" spans="1:22" x14ac:dyDescent="0.25">
      <c r="A1496" s="5">
        <v>0.75</v>
      </c>
      <c r="B1496" s="5">
        <f>E1474</f>
        <v>3</v>
      </c>
      <c r="C1496" s="5"/>
      <c r="D1496" s="5"/>
      <c r="E1496" s="5"/>
      <c r="F1496" s="5"/>
      <c r="G1496" s="5"/>
      <c r="H1496" s="5"/>
      <c r="I1496" s="5"/>
      <c r="J1496" s="5"/>
      <c r="K1496" s="5"/>
      <c r="L1496" s="5"/>
      <c r="M1496" s="5"/>
      <c r="N1496" s="5"/>
      <c r="O1496" s="5"/>
      <c r="P1496" s="5"/>
      <c r="Q1496" s="5"/>
      <c r="U1496">
        <f>A1534</f>
        <v>2.75</v>
      </c>
      <c r="V1496">
        <f>B1534</f>
        <v>3</v>
      </c>
    </row>
    <row r="1497" spans="1:22" x14ac:dyDescent="0.25">
      <c r="A1497" s="5">
        <v>1.25</v>
      </c>
      <c r="B1497" s="5">
        <f>E1474</f>
        <v>3</v>
      </c>
      <c r="C1497" s="5"/>
      <c r="D1497" s="5"/>
      <c r="E1497" s="5"/>
      <c r="F1497" s="5"/>
      <c r="G1497" s="5"/>
      <c r="H1497" s="5"/>
      <c r="I1497" s="5"/>
      <c r="J1497" s="5"/>
      <c r="K1497" s="5"/>
      <c r="L1497" s="5"/>
      <c r="M1497" s="5"/>
      <c r="N1497" s="5"/>
      <c r="O1497" s="5"/>
      <c r="P1497" s="5"/>
      <c r="Q1497" s="5"/>
      <c r="U1497">
        <f>A1535</f>
        <v>3.25</v>
      </c>
      <c r="V1497">
        <f>B1535</f>
        <v>3</v>
      </c>
    </row>
    <row r="1498" spans="1:22" x14ac:dyDescent="0.25">
      <c r="A1498" s="5"/>
      <c r="B1498" s="5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  <c r="O1498" s="5"/>
      <c r="P1498" s="5"/>
      <c r="Q1498" s="5"/>
    </row>
    <row r="1499" spans="1:22" x14ac:dyDescent="0.25">
      <c r="A1499" s="5">
        <v>0.87</v>
      </c>
      <c r="B1499" s="5">
        <f>E1479</f>
        <v>2</v>
      </c>
      <c r="C1499" s="5"/>
      <c r="D1499" s="5"/>
      <c r="E1499" s="5"/>
      <c r="F1499" s="5"/>
      <c r="G1499" s="5"/>
      <c r="H1499" s="5"/>
      <c r="I1499" s="5"/>
      <c r="J1499" s="5"/>
      <c r="K1499" s="5"/>
      <c r="L1499" s="5"/>
      <c r="M1499" s="5"/>
      <c r="N1499" s="5"/>
      <c r="O1499" s="5"/>
      <c r="P1499" s="5"/>
      <c r="Q1499" s="5"/>
      <c r="U1499">
        <f>A1553</f>
        <v>3.75</v>
      </c>
      <c r="V1499">
        <f>B1553</f>
        <v>3</v>
      </c>
    </row>
    <row r="1500" spans="1:22" x14ac:dyDescent="0.25">
      <c r="A1500" s="5">
        <v>1.1299999999999999</v>
      </c>
      <c r="B1500" s="5">
        <f>E1479</f>
        <v>2</v>
      </c>
      <c r="C1500" s="5"/>
      <c r="D1500" s="5"/>
      <c r="E1500" s="5"/>
      <c r="F1500" s="5"/>
      <c r="G1500" s="5"/>
      <c r="H1500" s="5"/>
      <c r="I1500" s="5"/>
      <c r="J1500" s="5"/>
      <c r="K1500" s="5"/>
      <c r="L1500" s="5"/>
      <c r="M1500" s="5"/>
      <c r="N1500" s="5"/>
      <c r="O1500" s="5"/>
      <c r="P1500" s="5"/>
      <c r="Q1500" s="5"/>
      <c r="U1500">
        <f>A1554</f>
        <v>4.25</v>
      </c>
      <c r="V1500">
        <f>B1554</f>
        <v>3</v>
      </c>
    </row>
    <row r="1501" spans="1:22" x14ac:dyDescent="0.25">
      <c r="A1501" s="5">
        <v>1</v>
      </c>
      <c r="B1501" s="5">
        <f>E1479</f>
        <v>2</v>
      </c>
      <c r="C1501" s="5"/>
      <c r="D1501" s="5"/>
      <c r="E1501" s="5"/>
      <c r="F1501" s="5"/>
      <c r="G1501" s="5"/>
      <c r="H1501" s="5"/>
      <c r="I1501" s="5"/>
      <c r="J1501" s="5"/>
      <c r="K1501" s="5"/>
      <c r="L1501" s="5"/>
      <c r="M1501" s="5"/>
      <c r="N1501" s="5"/>
      <c r="O1501" s="5"/>
      <c r="P1501" s="5"/>
      <c r="Q1501" s="5"/>
    </row>
    <row r="1502" spans="1:22" x14ac:dyDescent="0.25">
      <c r="A1502" s="5">
        <v>1</v>
      </c>
      <c r="B1502" s="5">
        <f>E1473</f>
        <v>3</v>
      </c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  <c r="O1502" s="5"/>
      <c r="P1502" s="5"/>
      <c r="Q1502" s="5"/>
      <c r="U1502">
        <f>A1572</f>
        <v>4.75</v>
      </c>
      <c r="V1502">
        <f>B1572</f>
        <v>4.5</v>
      </c>
    </row>
    <row r="1503" spans="1:22" x14ac:dyDescent="0.25">
      <c r="A1503" s="5"/>
      <c r="B1503" s="5"/>
      <c r="C1503" s="5"/>
      <c r="D1503" s="5"/>
      <c r="E1503" s="5"/>
      <c r="F1503" s="5"/>
      <c r="G1503" s="5"/>
      <c r="H1503" s="5"/>
      <c r="I1503" s="5"/>
      <c r="J1503" s="5"/>
      <c r="K1503" s="5"/>
      <c r="L1503" s="5"/>
      <c r="M1503" s="5"/>
      <c r="N1503" s="5"/>
      <c r="O1503" s="5"/>
      <c r="P1503" s="5"/>
      <c r="Q1503" s="5"/>
      <c r="U1503">
        <f>A1573</f>
        <v>5.25</v>
      </c>
      <c r="V1503">
        <f>B1573</f>
        <v>4.5</v>
      </c>
    </row>
    <row r="1504" spans="1:22" x14ac:dyDescent="0.25">
      <c r="A1504" s="5">
        <v>1</v>
      </c>
      <c r="B1504" s="5">
        <f>E1475</f>
        <v>5.5</v>
      </c>
      <c r="C1504" s="5"/>
      <c r="D1504" s="5"/>
      <c r="E1504" s="5"/>
      <c r="F1504" s="5"/>
      <c r="G1504" s="5"/>
      <c r="H1504" s="5"/>
      <c r="I1504" s="5"/>
      <c r="J1504" s="5"/>
      <c r="K1504" s="5"/>
      <c r="L1504" s="5"/>
      <c r="M1504" s="5"/>
      <c r="N1504" s="5"/>
      <c r="O1504" s="5"/>
      <c r="P1504" s="5"/>
      <c r="Q1504" s="5"/>
    </row>
    <row r="1505" spans="1:17" x14ac:dyDescent="0.25">
      <c r="A1505" s="5">
        <v>1</v>
      </c>
      <c r="B1505" s="5">
        <f>E1480</f>
        <v>6</v>
      </c>
      <c r="C1505" s="5"/>
      <c r="D1505" s="5"/>
      <c r="E1505" s="5"/>
      <c r="F1505" s="5"/>
      <c r="G1505" s="5"/>
      <c r="H1505" s="5"/>
      <c r="I1505" s="5"/>
      <c r="J1505" s="5"/>
      <c r="K1505" s="5"/>
      <c r="L1505" s="5"/>
      <c r="M1505" s="5"/>
      <c r="N1505" s="5"/>
      <c r="O1505" s="5"/>
      <c r="P1505" s="5"/>
      <c r="Q1505" s="5"/>
    </row>
    <row r="1506" spans="1:17" x14ac:dyDescent="0.25">
      <c r="A1506" s="5">
        <v>0.87</v>
      </c>
      <c r="B1506" s="5">
        <f>E1480</f>
        <v>6</v>
      </c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  <c r="O1506" s="5"/>
      <c r="P1506" s="5"/>
      <c r="Q1506" s="5"/>
    </row>
    <row r="1507" spans="1:17" x14ac:dyDescent="0.25">
      <c r="A1507" s="5">
        <v>1.1299999999999999</v>
      </c>
      <c r="B1507" s="5">
        <f>E1480</f>
        <v>6</v>
      </c>
      <c r="C1507" s="5"/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  <c r="O1507" s="5"/>
      <c r="P1507" s="5"/>
      <c r="Q1507" s="5"/>
    </row>
    <row r="1508" spans="1:17" x14ac:dyDescent="0.25">
      <c r="A1508" s="5"/>
      <c r="B1508" s="5"/>
      <c r="C1508" s="5"/>
      <c r="D1508" s="5"/>
      <c r="E1508" s="5"/>
      <c r="F1508" s="5"/>
      <c r="G1508" s="5"/>
      <c r="H1508" s="5"/>
      <c r="I1508" s="5"/>
      <c r="J1508" s="5"/>
      <c r="K1508" s="5"/>
      <c r="L1508" s="5"/>
      <c r="M1508" s="5"/>
      <c r="N1508" s="5"/>
      <c r="O1508" s="5"/>
      <c r="P1508" s="5"/>
      <c r="Q1508" s="5"/>
    </row>
    <row r="1509" spans="1:17" x14ac:dyDescent="0.25">
      <c r="A1509" s="5">
        <v>1.75</v>
      </c>
      <c r="B1509" s="5">
        <f>F1473</f>
        <v>4</v>
      </c>
      <c r="C1509" s="5"/>
      <c r="D1509" s="5"/>
      <c r="E1509" s="5"/>
      <c r="F1509" s="5"/>
      <c r="G1509" s="5"/>
      <c r="H1509" s="5"/>
      <c r="I1509" s="5"/>
      <c r="J1509" s="5"/>
      <c r="K1509" s="5"/>
      <c r="L1509" s="5"/>
      <c r="M1509" s="5"/>
      <c r="N1509" s="5"/>
      <c r="O1509" s="5"/>
      <c r="P1509" s="5"/>
      <c r="Q1509" s="5"/>
    </row>
    <row r="1510" spans="1:17" x14ac:dyDescent="0.25">
      <c r="A1510" s="5">
        <v>2.25</v>
      </c>
      <c r="B1510" s="5">
        <f>F1473</f>
        <v>4</v>
      </c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  <c r="O1510" s="5"/>
      <c r="P1510" s="5"/>
      <c r="Q1510" s="5"/>
    </row>
    <row r="1511" spans="1:17" x14ac:dyDescent="0.25">
      <c r="A1511" s="5">
        <v>2.25</v>
      </c>
      <c r="B1511" s="5">
        <f>F1475</f>
        <v>6</v>
      </c>
      <c r="C1511" s="5"/>
      <c r="D1511" s="5"/>
      <c r="E1511" s="5"/>
      <c r="F1511" s="5"/>
      <c r="G1511" s="5"/>
      <c r="H1511" s="5"/>
      <c r="I1511" s="5"/>
      <c r="J1511" s="5"/>
      <c r="K1511" s="5"/>
      <c r="L1511" s="5"/>
      <c r="M1511" s="5"/>
      <c r="N1511" s="5"/>
      <c r="O1511" s="5"/>
      <c r="P1511" s="5"/>
      <c r="Q1511" s="5"/>
    </row>
    <row r="1512" spans="1:17" x14ac:dyDescent="0.25">
      <c r="A1512" s="5">
        <v>1.75</v>
      </c>
      <c r="B1512" s="5">
        <f>F1475</f>
        <v>6</v>
      </c>
      <c r="C1512" s="5"/>
      <c r="D1512" s="5"/>
      <c r="E1512" s="5"/>
      <c r="F1512" s="5"/>
      <c r="G1512" s="5"/>
      <c r="H1512" s="5"/>
      <c r="I1512" s="5"/>
      <c r="J1512" s="5"/>
      <c r="K1512" s="5"/>
      <c r="L1512" s="5"/>
      <c r="M1512" s="5"/>
      <c r="N1512" s="5"/>
      <c r="O1512" s="5"/>
      <c r="P1512" s="5"/>
      <c r="Q1512" s="5"/>
    </row>
    <row r="1513" spans="1:17" x14ac:dyDescent="0.25">
      <c r="A1513" s="5">
        <v>1.75</v>
      </c>
      <c r="B1513" s="5">
        <f>F1473</f>
        <v>4</v>
      </c>
      <c r="C1513" s="5"/>
      <c r="D1513" s="5"/>
      <c r="E1513" s="5"/>
      <c r="F1513" s="5"/>
      <c r="G1513" s="5"/>
      <c r="H1513" s="5"/>
      <c r="I1513" s="5"/>
      <c r="J1513" s="5"/>
      <c r="K1513" s="5"/>
      <c r="L1513" s="5"/>
      <c r="M1513" s="5"/>
      <c r="N1513" s="5"/>
      <c r="O1513" s="5"/>
      <c r="P1513" s="5"/>
      <c r="Q1513" s="5"/>
    </row>
    <row r="1514" spans="1:17" x14ac:dyDescent="0.25">
      <c r="A1514" s="5"/>
      <c r="B1514" s="5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  <c r="O1514" s="5"/>
      <c r="P1514" s="5"/>
      <c r="Q1514" s="5"/>
    </row>
    <row r="1515" spans="1:17" x14ac:dyDescent="0.25">
      <c r="A1515" s="5">
        <v>1.75</v>
      </c>
      <c r="B1515" s="5">
        <f>F1474</f>
        <v>5</v>
      </c>
      <c r="C1515" s="5"/>
      <c r="D1515" s="5"/>
      <c r="E1515" s="5"/>
      <c r="F1515" s="5"/>
      <c r="G1515" s="5"/>
      <c r="H1515" s="5"/>
      <c r="I1515" s="5"/>
      <c r="J1515" s="5"/>
      <c r="K1515" s="5"/>
      <c r="L1515" s="5"/>
      <c r="M1515" s="5"/>
      <c r="N1515" s="5"/>
      <c r="O1515" s="5"/>
      <c r="P1515" s="5"/>
      <c r="Q1515" s="5"/>
    </row>
    <row r="1516" spans="1:17" x14ac:dyDescent="0.25">
      <c r="A1516" s="5">
        <v>2.25</v>
      </c>
      <c r="B1516" s="5">
        <f>F1474</f>
        <v>5</v>
      </c>
      <c r="C1516" s="5"/>
      <c r="D1516" s="5"/>
      <c r="E1516" s="5"/>
      <c r="F1516" s="5"/>
      <c r="G1516" s="5"/>
      <c r="H1516" s="5"/>
      <c r="I1516" s="5"/>
      <c r="J1516" s="5"/>
      <c r="K1516" s="5"/>
      <c r="L1516" s="5"/>
      <c r="M1516" s="5"/>
      <c r="N1516" s="5"/>
      <c r="O1516" s="5"/>
      <c r="P1516" s="5"/>
      <c r="Q1516" s="5"/>
    </row>
    <row r="1517" spans="1:17" x14ac:dyDescent="0.25">
      <c r="A1517" s="5"/>
      <c r="B1517" s="5"/>
      <c r="C1517" s="5"/>
      <c r="D1517" s="5"/>
      <c r="E1517" s="5"/>
      <c r="F1517" s="5"/>
      <c r="G1517" s="5"/>
      <c r="H1517" s="5"/>
      <c r="I1517" s="5"/>
      <c r="J1517" s="5"/>
      <c r="K1517" s="5"/>
      <c r="L1517" s="5"/>
      <c r="M1517" s="5"/>
      <c r="N1517" s="5"/>
      <c r="O1517" s="5"/>
      <c r="P1517" s="5"/>
      <c r="Q1517" s="5"/>
    </row>
    <row r="1518" spans="1:17" x14ac:dyDescent="0.25">
      <c r="A1518" s="5">
        <v>1.87</v>
      </c>
      <c r="B1518" s="5">
        <f>F1479</f>
        <v>1</v>
      </c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  <c r="O1518" s="5"/>
      <c r="P1518" s="5"/>
      <c r="Q1518" s="5"/>
    </row>
    <row r="1519" spans="1:17" x14ac:dyDescent="0.25">
      <c r="A1519" s="5">
        <v>2.13</v>
      </c>
      <c r="B1519" s="5">
        <f>F1479</f>
        <v>1</v>
      </c>
      <c r="C1519" s="5"/>
      <c r="D1519" s="5"/>
      <c r="E1519" s="5"/>
      <c r="F1519" s="5"/>
      <c r="G1519" s="5"/>
      <c r="H1519" s="5"/>
      <c r="I1519" s="5"/>
      <c r="J1519" s="5"/>
      <c r="K1519" s="5"/>
      <c r="L1519" s="5"/>
      <c r="M1519" s="5"/>
      <c r="N1519" s="5"/>
      <c r="O1519" s="5"/>
      <c r="P1519" s="5"/>
      <c r="Q1519" s="5"/>
    </row>
    <row r="1520" spans="1:17" x14ac:dyDescent="0.25">
      <c r="A1520" s="5">
        <v>2</v>
      </c>
      <c r="B1520" s="5">
        <f>F1479</f>
        <v>1</v>
      </c>
      <c r="C1520" s="5"/>
      <c r="D1520" s="5"/>
      <c r="E1520" s="5"/>
      <c r="F1520" s="5"/>
      <c r="G1520" s="5"/>
      <c r="H1520" s="5"/>
      <c r="I1520" s="5"/>
      <c r="J1520" s="5"/>
      <c r="K1520" s="5"/>
      <c r="L1520" s="5"/>
      <c r="M1520" s="5"/>
      <c r="N1520" s="5"/>
      <c r="O1520" s="5"/>
      <c r="P1520" s="5"/>
      <c r="Q1520" s="5"/>
    </row>
    <row r="1521" spans="1:17" x14ac:dyDescent="0.25">
      <c r="A1521" s="5">
        <v>2</v>
      </c>
      <c r="B1521" s="5">
        <f>F1473</f>
        <v>4</v>
      </c>
      <c r="C1521" s="5"/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/>
      <c r="O1521" s="5"/>
      <c r="P1521" s="5"/>
      <c r="Q1521" s="5"/>
    </row>
    <row r="1522" spans="1:17" x14ac:dyDescent="0.25">
      <c r="A1522" s="5"/>
      <c r="B1522" s="5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  <c r="O1522" s="5"/>
      <c r="P1522" s="5"/>
      <c r="Q1522" s="5"/>
    </row>
    <row r="1523" spans="1:17" x14ac:dyDescent="0.25">
      <c r="A1523" s="5">
        <v>2</v>
      </c>
      <c r="B1523" s="5">
        <f>F1475</f>
        <v>6</v>
      </c>
      <c r="C1523" s="5"/>
      <c r="D1523" s="5"/>
      <c r="E1523" s="5"/>
      <c r="F1523" s="5"/>
      <c r="G1523" s="5"/>
      <c r="H1523" s="5"/>
      <c r="I1523" s="5"/>
      <c r="J1523" s="5"/>
      <c r="K1523" s="5"/>
      <c r="L1523" s="5"/>
      <c r="M1523" s="5"/>
      <c r="N1523" s="5"/>
      <c r="O1523" s="5"/>
      <c r="P1523" s="5"/>
      <c r="Q1523" s="5"/>
    </row>
    <row r="1524" spans="1:17" x14ac:dyDescent="0.25">
      <c r="A1524" s="5">
        <v>2</v>
      </c>
      <c r="B1524" s="5">
        <f>F1480</f>
        <v>9</v>
      </c>
      <c r="C1524" s="5"/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  <c r="O1524" s="5"/>
      <c r="P1524" s="5"/>
      <c r="Q1524" s="5"/>
    </row>
    <row r="1525" spans="1:17" x14ac:dyDescent="0.25">
      <c r="A1525" s="5">
        <v>1.87</v>
      </c>
      <c r="B1525" s="5">
        <f>F1480</f>
        <v>9</v>
      </c>
      <c r="C1525" s="5"/>
      <c r="D1525" s="5"/>
      <c r="E1525" s="5"/>
      <c r="F1525" s="5"/>
      <c r="G1525" s="5"/>
      <c r="H1525" s="5"/>
      <c r="I1525" s="5"/>
      <c r="J1525" s="5"/>
      <c r="K1525" s="5"/>
      <c r="L1525" s="5"/>
      <c r="M1525" s="5"/>
      <c r="N1525" s="5"/>
      <c r="O1525" s="5"/>
      <c r="P1525" s="5"/>
      <c r="Q1525" s="5"/>
    </row>
    <row r="1526" spans="1:17" x14ac:dyDescent="0.25">
      <c r="A1526" s="5">
        <v>2.13</v>
      </c>
      <c r="B1526" s="5">
        <f>F1480</f>
        <v>9</v>
      </c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  <c r="O1526" s="5"/>
      <c r="P1526" s="5"/>
      <c r="Q1526" s="5"/>
    </row>
    <row r="1527" spans="1:17" x14ac:dyDescent="0.25">
      <c r="A1527" s="5"/>
      <c r="B1527" s="5"/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  <c r="O1527" s="5"/>
      <c r="P1527" s="5"/>
      <c r="Q1527" s="5"/>
    </row>
    <row r="1528" spans="1:17" x14ac:dyDescent="0.25">
      <c r="A1528" s="5">
        <v>2.75</v>
      </c>
      <c r="B1528" s="5">
        <f>G1473</f>
        <v>1</v>
      </c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  <c r="O1528" s="5"/>
      <c r="P1528" s="5"/>
      <c r="Q1528" s="5"/>
    </row>
    <row r="1529" spans="1:17" x14ac:dyDescent="0.25">
      <c r="A1529" s="5">
        <v>3.25</v>
      </c>
      <c r="B1529" s="5">
        <f>G1473</f>
        <v>1</v>
      </c>
      <c r="C1529" s="5"/>
      <c r="D1529" s="5"/>
      <c r="E1529" s="5"/>
      <c r="F1529" s="5"/>
      <c r="G1529" s="5"/>
      <c r="H1529" s="5"/>
      <c r="I1529" s="5"/>
      <c r="J1529" s="5"/>
      <c r="K1529" s="5"/>
      <c r="L1529" s="5"/>
      <c r="M1529" s="5"/>
      <c r="N1529" s="5"/>
      <c r="O1529" s="5"/>
      <c r="P1529" s="5"/>
      <c r="Q1529" s="5"/>
    </row>
    <row r="1530" spans="1:17" x14ac:dyDescent="0.25">
      <c r="A1530" s="5">
        <v>3.25</v>
      </c>
      <c r="B1530" s="5">
        <f>G1475</f>
        <v>6</v>
      </c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  <c r="O1530" s="5"/>
      <c r="P1530" s="5"/>
      <c r="Q1530" s="5"/>
    </row>
    <row r="1531" spans="1:17" x14ac:dyDescent="0.25">
      <c r="A1531" s="5">
        <v>2.75</v>
      </c>
      <c r="B1531" s="5">
        <f>G1475</f>
        <v>6</v>
      </c>
      <c r="C1531" s="5"/>
      <c r="D1531" s="5"/>
      <c r="E1531" s="5"/>
      <c r="F1531" s="5"/>
      <c r="G1531" s="5"/>
      <c r="H1531" s="5"/>
      <c r="I1531" s="5"/>
      <c r="J1531" s="5"/>
      <c r="K1531" s="5"/>
      <c r="L1531" s="5"/>
      <c r="M1531" s="5"/>
      <c r="N1531" s="5"/>
      <c r="O1531" s="5"/>
      <c r="P1531" s="5"/>
      <c r="Q1531" s="5"/>
    </row>
    <row r="1532" spans="1:17" x14ac:dyDescent="0.25">
      <c r="A1532" s="5">
        <v>2.75</v>
      </c>
      <c r="B1532" s="5">
        <f>G1473</f>
        <v>1</v>
      </c>
      <c r="C1532" s="5"/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  <c r="O1532" s="5"/>
      <c r="P1532" s="5"/>
      <c r="Q1532" s="5"/>
    </row>
    <row r="1533" spans="1:17" x14ac:dyDescent="0.25">
      <c r="A1533" s="5"/>
      <c r="B1533" s="5"/>
      <c r="C1533" s="5"/>
      <c r="D1533" s="5"/>
      <c r="E1533" s="5"/>
      <c r="F1533" s="5"/>
      <c r="G1533" s="5"/>
      <c r="H1533" s="5"/>
      <c r="I1533" s="5"/>
      <c r="J1533" s="5"/>
      <c r="K1533" s="5"/>
      <c r="L1533" s="5"/>
      <c r="M1533" s="5"/>
      <c r="N1533" s="5"/>
      <c r="O1533" s="5"/>
      <c r="P1533" s="5"/>
      <c r="Q1533" s="5"/>
    </row>
    <row r="1534" spans="1:17" x14ac:dyDescent="0.25">
      <c r="A1534" s="5">
        <v>2.75</v>
      </c>
      <c r="B1534" s="5">
        <f>G1474</f>
        <v>3</v>
      </c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  <c r="O1534" s="5"/>
      <c r="P1534" s="5"/>
      <c r="Q1534" s="5"/>
    </row>
    <row r="1535" spans="1:17" x14ac:dyDescent="0.25">
      <c r="A1535" s="5">
        <v>3.25</v>
      </c>
      <c r="B1535" s="5">
        <f>G1474</f>
        <v>3</v>
      </c>
      <c r="C1535" s="5"/>
      <c r="D1535" s="5"/>
      <c r="E1535" s="5"/>
      <c r="F1535" s="5"/>
      <c r="G1535" s="5"/>
      <c r="H1535" s="5"/>
      <c r="I1535" s="5"/>
      <c r="J1535" s="5"/>
      <c r="K1535" s="5"/>
      <c r="L1535" s="5"/>
      <c r="M1535" s="5"/>
      <c r="N1535" s="5"/>
      <c r="O1535" s="5"/>
      <c r="P1535" s="5"/>
      <c r="Q1535" s="5"/>
    </row>
    <row r="1536" spans="1:17" x14ac:dyDescent="0.25">
      <c r="A1536" s="5"/>
      <c r="B1536" s="5"/>
      <c r="C1536" s="5"/>
      <c r="D1536" s="5"/>
      <c r="E1536" s="5"/>
      <c r="F1536" s="5"/>
      <c r="G1536" s="5"/>
      <c r="H1536" s="5"/>
      <c r="I1536" s="5"/>
      <c r="J1536" s="5"/>
      <c r="K1536" s="5"/>
      <c r="L1536" s="5"/>
      <c r="M1536" s="5"/>
      <c r="N1536" s="5"/>
      <c r="O1536" s="5"/>
      <c r="P1536" s="5"/>
      <c r="Q1536" s="5"/>
    </row>
    <row r="1537" spans="1:17" x14ac:dyDescent="0.25">
      <c r="A1537" s="5">
        <v>2.87</v>
      </c>
      <c r="B1537" s="5">
        <f>G1479</f>
        <v>0</v>
      </c>
      <c r="C1537" s="5"/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  <c r="O1537" s="5"/>
      <c r="P1537" s="5"/>
      <c r="Q1537" s="5"/>
    </row>
    <row r="1538" spans="1:17" x14ac:dyDescent="0.25">
      <c r="A1538" s="5">
        <v>3.13</v>
      </c>
      <c r="B1538" s="5">
        <f>G1479</f>
        <v>0</v>
      </c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  <c r="O1538" s="5"/>
      <c r="P1538" s="5"/>
      <c r="Q1538" s="5"/>
    </row>
    <row r="1539" spans="1:17" x14ac:dyDescent="0.25">
      <c r="A1539" s="5">
        <v>3</v>
      </c>
      <c r="B1539" s="5">
        <f>G1479</f>
        <v>0</v>
      </c>
      <c r="C1539" s="5"/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/>
      <c r="O1539" s="5"/>
      <c r="P1539" s="5"/>
      <c r="Q1539" s="5"/>
    </row>
    <row r="1540" spans="1:17" x14ac:dyDescent="0.25">
      <c r="A1540" s="5">
        <v>3</v>
      </c>
      <c r="B1540" s="5">
        <f>G1473</f>
        <v>1</v>
      </c>
      <c r="C1540" s="5"/>
      <c r="D1540" s="5"/>
      <c r="E1540" s="5"/>
      <c r="F1540" s="5"/>
      <c r="G1540" s="5"/>
      <c r="H1540" s="5"/>
      <c r="I1540" s="5"/>
      <c r="J1540" s="5"/>
      <c r="K1540" s="5"/>
      <c r="L1540" s="5"/>
      <c r="M1540" s="5"/>
      <c r="N1540" s="5"/>
      <c r="O1540" s="5"/>
      <c r="P1540" s="5"/>
      <c r="Q1540" s="5"/>
    </row>
    <row r="1541" spans="1:17" x14ac:dyDescent="0.25">
      <c r="A1541" s="5"/>
      <c r="B1541" s="5"/>
      <c r="C1541" s="5"/>
      <c r="D1541" s="5"/>
      <c r="E1541" s="5"/>
      <c r="F1541" s="5"/>
      <c r="G1541" s="5"/>
      <c r="H1541" s="5"/>
      <c r="I1541" s="5"/>
      <c r="J1541" s="5"/>
      <c r="K1541" s="5"/>
      <c r="L1541" s="5"/>
      <c r="M1541" s="5"/>
      <c r="N1541" s="5"/>
      <c r="O1541" s="5"/>
      <c r="P1541" s="5"/>
      <c r="Q1541" s="5"/>
    </row>
    <row r="1542" spans="1:17" x14ac:dyDescent="0.25">
      <c r="A1542" s="5">
        <v>3</v>
      </c>
      <c r="B1542" s="5">
        <f>G1475</f>
        <v>6</v>
      </c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  <c r="O1542" s="5"/>
      <c r="P1542" s="5"/>
      <c r="Q1542" s="5"/>
    </row>
    <row r="1543" spans="1:17" x14ac:dyDescent="0.25">
      <c r="A1543" s="5">
        <v>3</v>
      </c>
      <c r="B1543" s="5">
        <f>G1480</f>
        <v>10</v>
      </c>
      <c r="C1543" s="5"/>
      <c r="D1543" s="5"/>
      <c r="E1543" s="5"/>
      <c r="F1543" s="5"/>
      <c r="G1543" s="5"/>
      <c r="H1543" s="5"/>
      <c r="I1543" s="5"/>
      <c r="J1543" s="5"/>
      <c r="K1543" s="5"/>
      <c r="L1543" s="5"/>
      <c r="M1543" s="5"/>
      <c r="N1543" s="5"/>
      <c r="O1543" s="5"/>
      <c r="P1543" s="5"/>
      <c r="Q1543" s="5"/>
    </row>
    <row r="1544" spans="1:17" x14ac:dyDescent="0.25">
      <c r="A1544" s="5">
        <v>2.87</v>
      </c>
      <c r="B1544" s="5">
        <f>G1480</f>
        <v>10</v>
      </c>
      <c r="C1544" s="5"/>
      <c r="D1544" s="5"/>
      <c r="E1544" s="5"/>
      <c r="F1544" s="5"/>
      <c r="G1544" s="5"/>
      <c r="H1544" s="5"/>
      <c r="I1544" s="5"/>
      <c r="J1544" s="5"/>
      <c r="K1544" s="5"/>
      <c r="L1544" s="5"/>
      <c r="M1544" s="5"/>
      <c r="N1544" s="5"/>
      <c r="O1544" s="5"/>
      <c r="P1544" s="5"/>
      <c r="Q1544" s="5"/>
    </row>
    <row r="1545" spans="1:17" x14ac:dyDescent="0.25">
      <c r="A1545" s="5">
        <v>3.13</v>
      </c>
      <c r="B1545" s="5">
        <f>G1480</f>
        <v>10</v>
      </c>
      <c r="C1545" s="5"/>
      <c r="D1545" s="5"/>
      <c r="E1545" s="5"/>
      <c r="F1545" s="5"/>
      <c r="G1545" s="5"/>
      <c r="H1545" s="5"/>
      <c r="I1545" s="5"/>
      <c r="J1545" s="5"/>
      <c r="K1545" s="5"/>
      <c r="L1545" s="5"/>
      <c r="M1545" s="5"/>
      <c r="N1545" s="5"/>
      <c r="O1545" s="5"/>
      <c r="P1545" s="5"/>
      <c r="Q1545" s="5"/>
    </row>
    <row r="1546" spans="1:17" x14ac:dyDescent="0.25">
      <c r="A1546" s="5"/>
      <c r="B1546" s="5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  <c r="O1546" s="5"/>
      <c r="P1546" s="5"/>
      <c r="Q1546" s="5"/>
    </row>
    <row r="1547" spans="1:17" x14ac:dyDescent="0.25">
      <c r="A1547" s="5">
        <v>3.75</v>
      </c>
      <c r="B1547" s="5">
        <f>H1473</f>
        <v>2</v>
      </c>
      <c r="C1547" s="5"/>
      <c r="D1547" s="5"/>
      <c r="E1547" s="5"/>
      <c r="F1547" s="5"/>
      <c r="G1547" s="5"/>
      <c r="H1547" s="5"/>
      <c r="I1547" s="5"/>
      <c r="J1547" s="5"/>
      <c r="K1547" s="5"/>
      <c r="L1547" s="5"/>
      <c r="M1547" s="5"/>
      <c r="N1547" s="5"/>
      <c r="O1547" s="5"/>
      <c r="P1547" s="5"/>
      <c r="Q1547" s="5"/>
    </row>
    <row r="1548" spans="1:17" x14ac:dyDescent="0.25">
      <c r="A1548" s="5">
        <v>4.25</v>
      </c>
      <c r="B1548" s="5">
        <f>H1473</f>
        <v>2</v>
      </c>
      <c r="C1548" s="5"/>
      <c r="D1548" s="5"/>
      <c r="E1548" s="5"/>
      <c r="F1548" s="5"/>
      <c r="G1548" s="5"/>
      <c r="H1548" s="5"/>
      <c r="I1548" s="5"/>
      <c r="J1548" s="5"/>
      <c r="K1548" s="5"/>
      <c r="L1548" s="5"/>
      <c r="M1548" s="5"/>
      <c r="N1548" s="5"/>
      <c r="O1548" s="5"/>
      <c r="P1548" s="5"/>
      <c r="Q1548" s="5"/>
    </row>
    <row r="1549" spans="1:17" x14ac:dyDescent="0.25">
      <c r="A1549" s="5">
        <v>4.25</v>
      </c>
      <c r="B1549" s="5">
        <f>H1475</f>
        <v>5</v>
      </c>
      <c r="C1549" s="5"/>
      <c r="D1549" s="5"/>
      <c r="E1549" s="5"/>
      <c r="F1549" s="5"/>
      <c r="G1549" s="5"/>
      <c r="H1549" s="5"/>
      <c r="I1549" s="5"/>
      <c r="J1549" s="5"/>
      <c r="K1549" s="5"/>
      <c r="L1549" s="5"/>
      <c r="M1549" s="5"/>
      <c r="N1549" s="5"/>
      <c r="O1549" s="5"/>
      <c r="P1549" s="5"/>
      <c r="Q1549" s="5"/>
    </row>
    <row r="1550" spans="1:17" x14ac:dyDescent="0.25">
      <c r="A1550" s="5">
        <v>3.75</v>
      </c>
      <c r="B1550" s="5">
        <f>H1475</f>
        <v>5</v>
      </c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  <c r="O1550" s="5"/>
      <c r="P1550" s="5"/>
      <c r="Q1550" s="5"/>
    </row>
    <row r="1551" spans="1:17" x14ac:dyDescent="0.25">
      <c r="A1551" s="5">
        <v>3.75</v>
      </c>
      <c r="B1551" s="5">
        <f>H1473</f>
        <v>2</v>
      </c>
      <c r="C1551" s="5"/>
      <c r="D1551" s="5"/>
      <c r="E1551" s="5"/>
      <c r="F1551" s="5"/>
      <c r="G1551" s="5"/>
      <c r="H1551" s="5"/>
      <c r="I1551" s="5"/>
      <c r="J1551" s="5"/>
      <c r="K1551" s="5"/>
      <c r="L1551" s="5"/>
      <c r="M1551" s="5"/>
      <c r="N1551" s="5"/>
      <c r="O1551" s="5"/>
      <c r="P1551" s="5"/>
      <c r="Q1551" s="5"/>
    </row>
    <row r="1552" spans="1:17" x14ac:dyDescent="0.25">
      <c r="A1552" s="5"/>
      <c r="B1552" s="5"/>
      <c r="C1552" s="5"/>
      <c r="D1552" s="5"/>
      <c r="E1552" s="5"/>
      <c r="F1552" s="5"/>
      <c r="G1552" s="5"/>
      <c r="H1552" s="5"/>
      <c r="I1552" s="5"/>
      <c r="J1552" s="5"/>
      <c r="K1552" s="5"/>
      <c r="L1552" s="5"/>
      <c r="M1552" s="5"/>
      <c r="N1552" s="5"/>
      <c r="O1552" s="5"/>
      <c r="P1552" s="5"/>
      <c r="Q1552" s="5"/>
    </row>
    <row r="1553" spans="1:17" x14ac:dyDescent="0.25">
      <c r="A1553" s="5">
        <v>3.75</v>
      </c>
      <c r="B1553" s="5">
        <f>H1474</f>
        <v>3</v>
      </c>
      <c r="C1553" s="5"/>
      <c r="D1553" s="5"/>
      <c r="E1553" s="5"/>
      <c r="F1553" s="5"/>
      <c r="G1553" s="5"/>
      <c r="H1553" s="5"/>
      <c r="I1553" s="5"/>
      <c r="J1553" s="5"/>
      <c r="K1553" s="5"/>
      <c r="L1553" s="5"/>
      <c r="M1553" s="5"/>
      <c r="N1553" s="5"/>
      <c r="O1553" s="5"/>
      <c r="P1553" s="5"/>
      <c r="Q1553" s="5"/>
    </row>
    <row r="1554" spans="1:17" x14ac:dyDescent="0.25">
      <c r="A1554" s="5">
        <v>4.25</v>
      </c>
      <c r="B1554" s="5">
        <f>H1474</f>
        <v>3</v>
      </c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  <c r="O1554" s="5"/>
      <c r="P1554" s="5"/>
      <c r="Q1554" s="5"/>
    </row>
    <row r="1555" spans="1:17" x14ac:dyDescent="0.25">
      <c r="A1555" s="5"/>
      <c r="B1555" s="5"/>
      <c r="C1555" s="5"/>
      <c r="D1555" s="5"/>
      <c r="E1555" s="5"/>
      <c r="F1555" s="5"/>
      <c r="G1555" s="5"/>
      <c r="H1555" s="5"/>
      <c r="I1555" s="5"/>
      <c r="J1555" s="5"/>
      <c r="K1555" s="5"/>
      <c r="L1555" s="5"/>
      <c r="M1555" s="5"/>
      <c r="N1555" s="5"/>
      <c r="O1555" s="5"/>
      <c r="P1555" s="5"/>
      <c r="Q1555" s="5"/>
    </row>
    <row r="1556" spans="1:17" x14ac:dyDescent="0.25">
      <c r="A1556" s="5">
        <v>3.87</v>
      </c>
      <c r="B1556" s="5">
        <f>H1479</f>
        <v>0</v>
      </c>
      <c r="C1556" s="5"/>
      <c r="D1556" s="5"/>
      <c r="E1556" s="5"/>
      <c r="F1556" s="5"/>
      <c r="G1556" s="5"/>
      <c r="H1556" s="5"/>
      <c r="I1556" s="5"/>
      <c r="J1556" s="5"/>
      <c r="K1556" s="5"/>
      <c r="L1556" s="5"/>
      <c r="M1556" s="5"/>
      <c r="N1556" s="5"/>
      <c r="O1556" s="5"/>
      <c r="P1556" s="5"/>
      <c r="Q1556" s="5"/>
    </row>
    <row r="1557" spans="1:17" x14ac:dyDescent="0.25">
      <c r="A1557" s="5">
        <v>4.13</v>
      </c>
      <c r="B1557" s="5">
        <f>H1479</f>
        <v>0</v>
      </c>
      <c r="C1557" s="5"/>
      <c r="D1557" s="5"/>
      <c r="E1557" s="5"/>
      <c r="F1557" s="5"/>
      <c r="G1557" s="5"/>
      <c r="H1557" s="5"/>
      <c r="I1557" s="5"/>
      <c r="J1557" s="5"/>
      <c r="K1557" s="5"/>
      <c r="L1557" s="5"/>
      <c r="M1557" s="5"/>
      <c r="N1557" s="5"/>
      <c r="O1557" s="5"/>
      <c r="P1557" s="5"/>
      <c r="Q1557" s="5"/>
    </row>
    <row r="1558" spans="1:17" x14ac:dyDescent="0.25">
      <c r="A1558" s="5">
        <v>4</v>
      </c>
      <c r="B1558" s="5">
        <f>H1479</f>
        <v>0</v>
      </c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  <c r="O1558" s="5"/>
      <c r="P1558" s="5"/>
      <c r="Q1558" s="5"/>
    </row>
    <row r="1559" spans="1:17" x14ac:dyDescent="0.25">
      <c r="A1559" s="5">
        <v>4</v>
      </c>
      <c r="B1559" s="5">
        <f>H1473</f>
        <v>2</v>
      </c>
      <c r="C1559" s="5"/>
      <c r="D1559" s="5"/>
      <c r="E1559" s="5"/>
      <c r="F1559" s="5"/>
      <c r="G1559" s="5"/>
      <c r="H1559" s="5"/>
      <c r="I1559" s="5"/>
      <c r="J1559" s="5"/>
      <c r="K1559" s="5"/>
      <c r="L1559" s="5"/>
      <c r="M1559" s="5"/>
      <c r="N1559" s="5"/>
      <c r="O1559" s="5"/>
      <c r="P1559" s="5"/>
      <c r="Q1559" s="5"/>
    </row>
    <row r="1560" spans="1:17" x14ac:dyDescent="0.25">
      <c r="A1560" s="5"/>
      <c r="B1560" s="5"/>
      <c r="C1560" s="5"/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  <c r="O1560" s="5"/>
      <c r="P1560" s="5"/>
      <c r="Q1560" s="5"/>
    </row>
    <row r="1561" spans="1:17" x14ac:dyDescent="0.25">
      <c r="A1561" s="5">
        <v>4</v>
      </c>
      <c r="B1561" s="5">
        <f>H1475</f>
        <v>5</v>
      </c>
      <c r="C1561" s="5"/>
      <c r="D1561" s="5"/>
      <c r="E1561" s="5"/>
      <c r="F1561" s="5"/>
      <c r="G1561" s="5"/>
      <c r="H1561" s="5"/>
      <c r="I1561" s="5"/>
      <c r="J1561" s="5"/>
      <c r="K1561" s="5"/>
      <c r="L1561" s="5"/>
      <c r="M1561" s="5"/>
      <c r="N1561" s="5"/>
      <c r="O1561" s="5"/>
      <c r="P1561" s="5"/>
      <c r="Q1561" s="5"/>
    </row>
    <row r="1562" spans="1:17" x14ac:dyDescent="0.25">
      <c r="A1562" s="5">
        <v>4</v>
      </c>
      <c r="B1562" s="5">
        <f>H1480</f>
        <v>9</v>
      </c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  <c r="O1562" s="5"/>
      <c r="P1562" s="5"/>
      <c r="Q1562" s="5"/>
    </row>
    <row r="1563" spans="1:17" x14ac:dyDescent="0.25">
      <c r="A1563" s="5">
        <v>3.87</v>
      </c>
      <c r="B1563" s="5">
        <f>H1480</f>
        <v>9</v>
      </c>
      <c r="C1563" s="5"/>
      <c r="D1563" s="5"/>
      <c r="E1563" s="5"/>
      <c r="F1563" s="5"/>
      <c r="G1563" s="5"/>
      <c r="H1563" s="5"/>
      <c r="I1563" s="5"/>
      <c r="J1563" s="5"/>
      <c r="K1563" s="5"/>
      <c r="L1563" s="5"/>
      <c r="M1563" s="5"/>
      <c r="N1563" s="5"/>
      <c r="O1563" s="5"/>
      <c r="P1563" s="5"/>
      <c r="Q1563" s="5"/>
    </row>
    <row r="1564" spans="1:17" x14ac:dyDescent="0.25">
      <c r="A1564" s="5">
        <v>4.13</v>
      </c>
      <c r="B1564" s="5">
        <f>H1480</f>
        <v>9</v>
      </c>
      <c r="C1564" s="5"/>
      <c r="D1564" s="5"/>
      <c r="E1564" s="5"/>
      <c r="F1564" s="5"/>
      <c r="G1564" s="5"/>
      <c r="H1564" s="5"/>
      <c r="I1564" s="5"/>
      <c r="J1564" s="5"/>
      <c r="K1564" s="5"/>
      <c r="L1564" s="5"/>
      <c r="M1564" s="5"/>
      <c r="N1564" s="5"/>
      <c r="O1564" s="5"/>
      <c r="P1564" s="5"/>
      <c r="Q1564" s="5"/>
    </row>
    <row r="1565" spans="1:17" x14ac:dyDescent="0.25">
      <c r="A1565" s="5"/>
      <c r="B1565" s="5"/>
      <c r="C1565" s="5"/>
      <c r="D1565" s="5"/>
      <c r="E1565" s="5"/>
      <c r="F1565" s="5"/>
      <c r="G1565" s="5"/>
      <c r="H1565" s="5"/>
      <c r="I1565" s="5"/>
      <c r="J1565" s="5"/>
      <c r="K1565" s="5"/>
      <c r="L1565" s="5"/>
      <c r="M1565" s="5"/>
      <c r="N1565" s="5"/>
      <c r="O1565" s="5"/>
      <c r="P1565" s="5"/>
      <c r="Q1565" s="5"/>
    </row>
    <row r="1566" spans="1:17" x14ac:dyDescent="0.25">
      <c r="A1566" s="5">
        <v>4.75</v>
      </c>
      <c r="B1566" s="5">
        <f>I1473</f>
        <v>4</v>
      </c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  <c r="O1566" s="5"/>
      <c r="P1566" s="5"/>
      <c r="Q1566" s="5"/>
    </row>
    <row r="1567" spans="1:17" x14ac:dyDescent="0.25">
      <c r="A1567" s="5">
        <v>5.25</v>
      </c>
      <c r="B1567" s="5">
        <f>I1473</f>
        <v>4</v>
      </c>
      <c r="C1567" s="5"/>
      <c r="D1567" s="5"/>
      <c r="E1567" s="5"/>
      <c r="F1567" s="5"/>
      <c r="G1567" s="5"/>
      <c r="H1567" s="5"/>
      <c r="I1567" s="5"/>
      <c r="J1567" s="5"/>
      <c r="K1567" s="5"/>
      <c r="L1567" s="5"/>
      <c r="M1567" s="5"/>
      <c r="N1567" s="5"/>
      <c r="O1567" s="5"/>
      <c r="P1567" s="5"/>
      <c r="Q1567" s="5"/>
    </row>
    <row r="1568" spans="1:17" x14ac:dyDescent="0.25">
      <c r="A1568" s="5">
        <v>5.25</v>
      </c>
      <c r="B1568" s="5">
        <f>I1475</f>
        <v>7.25</v>
      </c>
      <c r="C1568" s="5"/>
      <c r="D1568" s="5"/>
      <c r="E1568" s="5"/>
      <c r="F1568" s="5"/>
      <c r="G1568" s="5"/>
      <c r="H1568" s="5"/>
      <c r="I1568" s="5"/>
      <c r="J1568" s="5"/>
      <c r="K1568" s="5"/>
      <c r="L1568" s="5"/>
      <c r="M1568" s="5"/>
      <c r="N1568" s="5"/>
      <c r="O1568" s="5"/>
      <c r="P1568" s="5"/>
      <c r="Q1568" s="5"/>
    </row>
    <row r="1569" spans="1:17" x14ac:dyDescent="0.25">
      <c r="A1569" s="5">
        <v>4.75</v>
      </c>
      <c r="B1569" s="5">
        <f>I1475</f>
        <v>7.25</v>
      </c>
      <c r="C1569" s="5"/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5"/>
      <c r="O1569" s="5"/>
      <c r="P1569" s="5"/>
      <c r="Q1569" s="5"/>
    </row>
    <row r="1570" spans="1:17" x14ac:dyDescent="0.25">
      <c r="A1570" s="5">
        <v>4.75</v>
      </c>
      <c r="B1570" s="5">
        <f>I1473</f>
        <v>4</v>
      </c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  <c r="O1570" s="5"/>
      <c r="P1570" s="5"/>
      <c r="Q1570" s="5"/>
    </row>
    <row r="1571" spans="1:17" x14ac:dyDescent="0.25">
      <c r="A1571" s="5"/>
      <c r="B1571" s="5"/>
      <c r="C1571" s="5"/>
      <c r="D1571" s="5"/>
      <c r="E1571" s="5"/>
      <c r="F1571" s="5"/>
      <c r="G1571" s="5"/>
      <c r="H1571" s="5"/>
      <c r="I1571" s="5"/>
      <c r="J1571" s="5"/>
      <c r="K1571" s="5"/>
      <c r="L1571" s="5"/>
      <c r="M1571" s="5"/>
      <c r="N1571" s="5"/>
      <c r="O1571" s="5"/>
      <c r="P1571" s="5"/>
      <c r="Q1571" s="5"/>
    </row>
    <row r="1572" spans="1:17" x14ac:dyDescent="0.25">
      <c r="A1572" s="5">
        <v>4.75</v>
      </c>
      <c r="B1572" s="5">
        <f>I1474</f>
        <v>4.5</v>
      </c>
      <c r="C1572" s="5"/>
      <c r="D1572" s="5"/>
      <c r="E1572" s="5"/>
      <c r="F1572" s="5"/>
      <c r="G1572" s="5"/>
      <c r="H1572" s="5"/>
      <c r="I1572" s="5"/>
      <c r="J1572" s="5"/>
      <c r="K1572" s="5"/>
      <c r="L1572" s="5"/>
      <c r="M1572" s="5"/>
      <c r="N1572" s="5"/>
      <c r="O1572" s="5"/>
      <c r="P1572" s="5"/>
      <c r="Q1572" s="5"/>
    </row>
    <row r="1573" spans="1:17" x14ac:dyDescent="0.25">
      <c r="A1573" s="5">
        <v>5.25</v>
      </c>
      <c r="B1573" s="5">
        <f>I1474</f>
        <v>4.5</v>
      </c>
      <c r="C1573" s="5"/>
      <c r="D1573" s="5"/>
      <c r="E1573" s="5"/>
      <c r="F1573" s="5"/>
      <c r="G1573" s="5"/>
      <c r="H1573" s="5"/>
      <c r="I1573" s="5"/>
      <c r="J1573" s="5"/>
      <c r="K1573" s="5"/>
      <c r="L1573" s="5"/>
      <c r="M1573" s="5"/>
      <c r="N1573" s="5"/>
      <c r="O1573" s="5"/>
      <c r="P1573" s="5"/>
      <c r="Q1573" s="5"/>
    </row>
    <row r="1574" spans="1:17" x14ac:dyDescent="0.25">
      <c r="A1574" s="5"/>
      <c r="B1574" s="5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  <c r="O1574" s="5"/>
      <c r="P1574" s="5"/>
      <c r="Q1574" s="5"/>
    </row>
    <row r="1575" spans="1:17" x14ac:dyDescent="0.25">
      <c r="A1575" s="5">
        <v>4.87</v>
      </c>
      <c r="B1575" s="5">
        <f>I1479</f>
        <v>1</v>
      </c>
      <c r="C1575" s="5"/>
      <c r="D1575" s="5"/>
      <c r="E1575" s="5"/>
      <c r="F1575" s="5"/>
      <c r="G1575" s="5"/>
      <c r="H1575" s="5"/>
      <c r="I1575" s="5"/>
      <c r="J1575" s="5"/>
      <c r="K1575" s="5"/>
      <c r="L1575" s="5"/>
      <c r="M1575" s="5"/>
      <c r="N1575" s="5"/>
      <c r="O1575" s="5"/>
      <c r="P1575" s="5"/>
      <c r="Q1575" s="5"/>
    </row>
    <row r="1576" spans="1:17" x14ac:dyDescent="0.25">
      <c r="A1576" s="5">
        <v>5.13</v>
      </c>
      <c r="B1576" s="5">
        <f>I1479</f>
        <v>1</v>
      </c>
      <c r="C1576" s="5"/>
      <c r="D1576" s="5"/>
      <c r="E1576" s="5"/>
      <c r="F1576" s="5"/>
      <c r="G1576" s="5"/>
      <c r="H1576" s="5"/>
      <c r="I1576" s="5"/>
      <c r="J1576" s="5"/>
      <c r="K1576" s="5"/>
      <c r="L1576" s="5"/>
      <c r="M1576" s="5"/>
      <c r="N1576" s="5"/>
      <c r="O1576" s="5"/>
      <c r="P1576" s="5"/>
      <c r="Q1576" s="5"/>
    </row>
    <row r="1577" spans="1:17" x14ac:dyDescent="0.25">
      <c r="A1577" s="5">
        <v>5</v>
      </c>
      <c r="B1577" s="5">
        <f>I1479</f>
        <v>1</v>
      </c>
      <c r="C1577" s="5"/>
      <c r="D1577" s="5"/>
      <c r="E1577" s="5"/>
      <c r="F1577" s="5"/>
      <c r="G1577" s="5"/>
      <c r="H1577" s="5"/>
      <c r="I1577" s="5"/>
      <c r="J1577" s="5"/>
      <c r="K1577" s="5"/>
      <c r="L1577" s="5"/>
      <c r="M1577" s="5"/>
      <c r="N1577" s="5"/>
      <c r="O1577" s="5"/>
      <c r="P1577" s="5"/>
      <c r="Q1577" s="5"/>
    </row>
    <row r="1578" spans="1:17" x14ac:dyDescent="0.25">
      <c r="A1578" s="5">
        <v>5</v>
      </c>
      <c r="B1578" s="5">
        <f>I1473</f>
        <v>4</v>
      </c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  <c r="O1578" s="5"/>
      <c r="P1578" s="5"/>
      <c r="Q1578" s="5"/>
    </row>
    <row r="1579" spans="1:17" x14ac:dyDescent="0.25">
      <c r="A1579" s="5"/>
      <c r="B1579" s="5"/>
      <c r="C1579" s="5"/>
      <c r="D1579" s="5"/>
      <c r="E1579" s="5"/>
      <c r="F1579" s="5"/>
      <c r="G1579" s="5"/>
      <c r="H1579" s="5"/>
      <c r="I1579" s="5"/>
      <c r="J1579" s="5"/>
      <c r="K1579" s="5"/>
      <c r="L1579" s="5"/>
      <c r="M1579" s="5"/>
      <c r="N1579" s="5"/>
      <c r="O1579" s="5"/>
      <c r="P1579" s="5"/>
      <c r="Q1579" s="5"/>
    </row>
    <row r="1580" spans="1:17" x14ac:dyDescent="0.25">
      <c r="A1580" s="5">
        <v>5</v>
      </c>
      <c r="B1580" s="5">
        <f>I1475</f>
        <v>7.25</v>
      </c>
      <c r="C1580" s="5"/>
      <c r="D1580" s="5"/>
      <c r="E1580" s="5"/>
      <c r="F1580" s="5"/>
      <c r="G1580" s="5"/>
      <c r="H1580" s="5"/>
      <c r="I1580" s="5"/>
      <c r="J1580" s="5"/>
      <c r="K1580" s="5"/>
      <c r="L1580" s="5"/>
      <c r="M1580" s="5"/>
      <c r="N1580" s="5"/>
      <c r="O1580" s="5"/>
      <c r="P1580" s="5"/>
      <c r="Q1580" s="5"/>
    </row>
    <row r="1581" spans="1:17" x14ac:dyDescent="0.25">
      <c r="A1581" s="5">
        <v>5</v>
      </c>
      <c r="B1581" s="5">
        <f>I1480</f>
        <v>11</v>
      </c>
      <c r="C1581" s="5"/>
      <c r="D1581" s="5"/>
      <c r="E1581" s="5"/>
      <c r="F1581" s="5"/>
      <c r="G1581" s="5"/>
      <c r="H1581" s="5"/>
      <c r="I1581" s="5"/>
      <c r="J1581" s="5"/>
      <c r="K1581" s="5"/>
      <c r="L1581" s="5"/>
      <c r="M1581" s="5"/>
      <c r="N1581" s="5"/>
      <c r="O1581" s="5"/>
      <c r="P1581" s="5"/>
      <c r="Q1581" s="5"/>
    </row>
    <row r="1582" spans="1:17" x14ac:dyDescent="0.25">
      <c r="A1582" s="5">
        <v>4.87</v>
      </c>
      <c r="B1582" s="5">
        <f>I1480</f>
        <v>11</v>
      </c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  <c r="O1582" s="5"/>
      <c r="P1582" s="5"/>
      <c r="Q1582" s="5"/>
    </row>
    <row r="1583" spans="1:17" x14ac:dyDescent="0.25">
      <c r="A1583" s="5">
        <v>5.13</v>
      </c>
      <c r="B1583" s="5">
        <f>I1480</f>
        <v>11</v>
      </c>
      <c r="C1583" s="5"/>
      <c r="D1583" s="5"/>
      <c r="E1583" s="5"/>
      <c r="F1583" s="5"/>
      <c r="G1583" s="5"/>
      <c r="H1583" s="5"/>
      <c r="I1583" s="5"/>
      <c r="J1583" s="5"/>
      <c r="K1583" s="5"/>
      <c r="L1583" s="5"/>
      <c r="M1583" s="5"/>
      <c r="N1583" s="5"/>
      <c r="O1583" s="5"/>
      <c r="P1583" s="5"/>
      <c r="Q1583" s="5"/>
    </row>
    <row r="1584" spans="1:17" x14ac:dyDescent="0.25">
      <c r="A1584" s="5"/>
      <c r="B1584" s="5"/>
      <c r="C1584" s="5"/>
      <c r="D1584" s="5"/>
      <c r="E1584" s="5"/>
      <c r="F1584" s="5"/>
      <c r="G1584" s="5"/>
      <c r="H1584" s="5"/>
      <c r="I1584" s="5"/>
      <c r="J1584" s="5"/>
      <c r="K1584" s="5"/>
      <c r="L1584" s="5"/>
      <c r="M1584" s="5"/>
      <c r="N1584" s="5"/>
      <c r="O1584" s="5"/>
      <c r="P1584" s="5"/>
      <c r="Q1584" s="5"/>
    </row>
    <row r="1585" spans="1:17" x14ac:dyDescent="0.25">
      <c r="A1585" s="5"/>
      <c r="B1585" s="5"/>
      <c r="C1585" s="5"/>
      <c r="D1585" s="5"/>
      <c r="E1585" s="5"/>
      <c r="F1585" s="5"/>
      <c r="G1585" s="5"/>
      <c r="H1585" s="5"/>
      <c r="I1585" s="5"/>
      <c r="J1585" s="5"/>
      <c r="K1585" s="5"/>
      <c r="L1585" s="5"/>
      <c r="M1585" s="5"/>
      <c r="N1585" s="5"/>
      <c r="O1585" s="5"/>
      <c r="P1585" s="5"/>
      <c r="Q1585" s="5"/>
    </row>
    <row r="1586" spans="1:17" x14ac:dyDescent="0.25">
      <c r="A1586" s="5"/>
      <c r="B1586" s="5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  <c r="O1586" s="5"/>
      <c r="P1586" s="5"/>
      <c r="Q1586" s="5"/>
    </row>
    <row r="1587" spans="1:17" x14ac:dyDescent="0.25">
      <c r="A1587" s="5"/>
      <c r="B1587" s="5"/>
      <c r="C1587" s="5"/>
      <c r="D1587" s="5"/>
      <c r="E1587" s="5"/>
      <c r="F1587" s="5"/>
      <c r="G1587" s="5"/>
      <c r="H1587" s="5"/>
      <c r="I1587" s="5"/>
      <c r="J1587" s="5"/>
      <c r="K1587" s="5"/>
      <c r="L1587" s="5"/>
      <c r="M1587" s="5"/>
      <c r="N1587" s="5"/>
      <c r="O1587" s="5"/>
      <c r="P1587" s="5"/>
      <c r="Q1587" s="5"/>
    </row>
    <row r="1588" spans="1:17" x14ac:dyDescent="0.25">
      <c r="A1588" s="5"/>
      <c r="B1588" s="5"/>
      <c r="C1588" s="5"/>
      <c r="D1588" s="5"/>
      <c r="E1588" s="5"/>
      <c r="F1588" s="5"/>
      <c r="G1588" s="5"/>
      <c r="H1588" s="5"/>
      <c r="I1588" s="5"/>
      <c r="J1588" s="5"/>
      <c r="K1588" s="5"/>
      <c r="L1588" s="5"/>
      <c r="M1588" s="5"/>
      <c r="N1588" s="5"/>
      <c r="O1588" s="5"/>
      <c r="P1588" s="5"/>
      <c r="Q1588" s="5"/>
    </row>
    <row r="1589" spans="1:17" x14ac:dyDescent="0.25">
      <c r="A1589" s="5"/>
      <c r="B1589" s="5"/>
      <c r="C1589" s="5"/>
      <c r="D1589" s="5"/>
      <c r="E1589" s="5"/>
      <c r="F1589" s="5"/>
      <c r="G1589" s="5"/>
      <c r="H1589" s="5"/>
      <c r="I1589" s="5"/>
      <c r="J1589" s="5"/>
      <c r="K1589" s="5"/>
      <c r="L1589" s="5"/>
      <c r="M1589" s="5"/>
      <c r="N1589" s="5"/>
      <c r="O1589" s="5"/>
      <c r="P1589" s="5"/>
      <c r="Q1589" s="5"/>
    </row>
    <row r="1590" spans="1:17" x14ac:dyDescent="0.25">
      <c r="A1590" s="5"/>
      <c r="B1590" s="5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  <c r="O1590" s="5"/>
      <c r="P1590" s="5"/>
      <c r="Q1590" s="5"/>
    </row>
    <row r="1591" spans="1:17" x14ac:dyDescent="0.25">
      <c r="A1591" s="5"/>
      <c r="B1591" s="5"/>
      <c r="C1591" s="5"/>
      <c r="D1591" s="5"/>
      <c r="E1591" s="5"/>
      <c r="F1591" s="5"/>
      <c r="G1591" s="5"/>
      <c r="H1591" s="5"/>
      <c r="I1591" s="5"/>
      <c r="J1591" s="5"/>
      <c r="K1591" s="5"/>
      <c r="L1591" s="5"/>
      <c r="M1591" s="5"/>
      <c r="N1591" s="5"/>
      <c r="O1591" s="5"/>
      <c r="P1591" s="5"/>
      <c r="Q1591" s="5"/>
    </row>
    <row r="1592" spans="1:17" x14ac:dyDescent="0.25">
      <c r="A1592" s="5"/>
      <c r="B1592" s="5"/>
      <c r="C1592" s="5"/>
      <c r="D1592" s="5"/>
      <c r="E1592" s="5"/>
      <c r="F1592" s="5"/>
      <c r="G1592" s="5"/>
      <c r="H1592" s="5"/>
      <c r="I1592" s="5"/>
      <c r="J1592" s="5"/>
      <c r="K1592" s="5"/>
      <c r="L1592" s="5"/>
      <c r="M1592" s="5"/>
      <c r="N1592" s="5"/>
      <c r="O1592" s="5"/>
      <c r="P1592" s="5"/>
      <c r="Q1592" s="5"/>
    </row>
    <row r="1593" spans="1:17" x14ac:dyDescent="0.25">
      <c r="A1593" s="5"/>
      <c r="B1593" s="5"/>
      <c r="C1593" s="5"/>
      <c r="D1593" s="5"/>
      <c r="E1593" s="5"/>
      <c r="F1593" s="5"/>
      <c r="G1593" s="5"/>
      <c r="H1593" s="5"/>
      <c r="I1593" s="5"/>
      <c r="J1593" s="5"/>
      <c r="K1593" s="5"/>
      <c r="L1593" s="5"/>
      <c r="M1593" s="5"/>
      <c r="N1593" s="5"/>
      <c r="O1593" s="5"/>
      <c r="P1593" s="5"/>
      <c r="Q1593" s="5"/>
    </row>
    <row r="1594" spans="1:17" x14ac:dyDescent="0.25">
      <c r="A1594" s="5"/>
      <c r="B1594" s="5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  <c r="O1594" s="5"/>
      <c r="P1594" s="5"/>
      <c r="Q1594" s="5"/>
    </row>
    <row r="1595" spans="1:17" x14ac:dyDescent="0.25">
      <c r="A1595" s="5"/>
      <c r="B1595" s="5"/>
      <c r="C1595" s="5"/>
      <c r="D1595" s="5"/>
      <c r="E1595" s="5"/>
      <c r="F1595" s="5"/>
      <c r="G1595" s="5"/>
      <c r="H1595" s="5"/>
      <c r="I1595" s="5"/>
      <c r="J1595" s="5"/>
      <c r="K1595" s="5"/>
      <c r="L1595" s="5"/>
      <c r="M1595" s="5"/>
      <c r="N1595" s="5"/>
      <c r="O1595" s="5"/>
      <c r="P1595" s="5"/>
      <c r="Q1595" s="5"/>
    </row>
    <row r="1596" spans="1:17" x14ac:dyDescent="0.25">
      <c r="A1596" s="5"/>
      <c r="B1596" s="5"/>
      <c r="C1596" s="5"/>
      <c r="D1596" s="5"/>
      <c r="E1596" s="5"/>
      <c r="F1596" s="5"/>
      <c r="G1596" s="5"/>
      <c r="H1596" s="5"/>
      <c r="I1596" s="5"/>
      <c r="J1596" s="5"/>
      <c r="K1596" s="5"/>
      <c r="L1596" s="5"/>
      <c r="M1596" s="5"/>
      <c r="N1596" s="5"/>
      <c r="O1596" s="5"/>
      <c r="P1596" s="5"/>
      <c r="Q1596" s="5"/>
    </row>
    <row r="1597" spans="1:17" x14ac:dyDescent="0.25">
      <c r="A1597" s="5"/>
      <c r="B1597" s="5"/>
      <c r="C1597" s="5"/>
      <c r="D1597" s="5"/>
      <c r="E1597" s="5"/>
      <c r="F1597" s="5"/>
      <c r="G1597" s="5"/>
      <c r="H1597" s="5"/>
      <c r="I1597" s="5"/>
      <c r="J1597" s="5"/>
      <c r="K1597" s="5"/>
      <c r="L1597" s="5"/>
      <c r="M1597" s="5"/>
      <c r="N1597" s="5"/>
      <c r="O1597" s="5"/>
      <c r="P1597" s="5"/>
      <c r="Q1597" s="5"/>
    </row>
    <row r="1598" spans="1:17" x14ac:dyDescent="0.25">
      <c r="A1598" s="5"/>
      <c r="B1598" s="5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  <c r="O1598" s="5"/>
      <c r="P1598" s="5"/>
      <c r="Q1598" s="5"/>
    </row>
    <row r="1599" spans="1:17" x14ac:dyDescent="0.25">
      <c r="A1599" s="5"/>
      <c r="B1599" s="5"/>
      <c r="C1599" s="5"/>
      <c r="D1599" s="5"/>
      <c r="E1599" s="5"/>
      <c r="F1599" s="5"/>
      <c r="G1599" s="5"/>
      <c r="H1599" s="5"/>
      <c r="I1599" s="5"/>
      <c r="J1599" s="5"/>
      <c r="K1599" s="5"/>
      <c r="L1599" s="5"/>
      <c r="M1599" s="5"/>
      <c r="N1599" s="5"/>
      <c r="O1599" s="5"/>
      <c r="P1599" s="5"/>
      <c r="Q1599" s="5"/>
    </row>
    <row r="1600" spans="1:17" x14ac:dyDescent="0.25">
      <c r="A1600" s="5"/>
      <c r="B1600" s="5"/>
      <c r="C1600" s="5"/>
      <c r="D1600" s="5"/>
      <c r="E1600" s="5"/>
      <c r="F1600" s="5"/>
      <c r="G1600" s="5"/>
      <c r="H1600" s="5"/>
      <c r="I1600" s="5"/>
      <c r="J1600" s="5"/>
      <c r="K1600" s="5"/>
      <c r="L1600" s="5"/>
      <c r="M1600" s="5"/>
      <c r="N1600" s="5"/>
      <c r="O1600" s="5"/>
      <c r="P1600" s="5"/>
      <c r="Q1600" s="5"/>
    </row>
    <row r="1601" spans="1:17" x14ac:dyDescent="0.25">
      <c r="A1601" s="5"/>
      <c r="B1601" s="5"/>
      <c r="C1601" s="5"/>
      <c r="D1601" s="5"/>
      <c r="E1601" s="5"/>
      <c r="F1601" s="5"/>
      <c r="G1601" s="5"/>
      <c r="H1601" s="5"/>
      <c r="I1601" s="5"/>
      <c r="J1601" s="5"/>
      <c r="K1601" s="5"/>
      <c r="L1601" s="5"/>
      <c r="M1601" s="5"/>
      <c r="N1601" s="5"/>
      <c r="O1601" s="5"/>
      <c r="P1601" s="5"/>
      <c r="Q1601" s="5"/>
    </row>
    <row r="1602" spans="1:17" x14ac:dyDescent="0.25">
      <c r="A1602" s="5"/>
      <c r="B1602" s="5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  <c r="O1602" s="5"/>
      <c r="P1602" s="5"/>
      <c r="Q1602" s="5"/>
    </row>
    <row r="1603" spans="1:17" x14ac:dyDescent="0.25">
      <c r="A1603" s="5"/>
      <c r="B1603" s="5"/>
      <c r="C1603" s="5"/>
      <c r="D1603" s="5"/>
      <c r="E1603" s="5"/>
      <c r="F1603" s="5"/>
      <c r="G1603" s="5"/>
      <c r="H1603" s="5"/>
      <c r="I1603" s="5"/>
      <c r="J1603" s="5"/>
      <c r="K1603" s="5"/>
      <c r="L1603" s="5"/>
      <c r="M1603" s="5"/>
      <c r="N1603" s="5"/>
      <c r="O1603" s="5"/>
      <c r="P1603" s="5"/>
      <c r="Q1603" s="5"/>
    </row>
    <row r="1604" spans="1:17" x14ac:dyDescent="0.25">
      <c r="A1604" s="5"/>
      <c r="B1604" s="5"/>
      <c r="C1604" s="5"/>
      <c r="D1604" s="5"/>
      <c r="E1604" s="5"/>
      <c r="F1604" s="5"/>
      <c r="G1604" s="5"/>
      <c r="H1604" s="5"/>
      <c r="I1604" s="5"/>
      <c r="J1604" s="5"/>
      <c r="K1604" s="5"/>
      <c r="L1604" s="5"/>
      <c r="M1604" s="5"/>
      <c r="N1604" s="5"/>
      <c r="O1604" s="5"/>
      <c r="P1604" s="5"/>
      <c r="Q1604" s="5"/>
    </row>
    <row r="1605" spans="1:17" x14ac:dyDescent="0.25">
      <c r="A1605" s="5"/>
      <c r="B1605" s="5"/>
      <c r="C1605" s="5"/>
      <c r="D1605" s="5"/>
      <c r="E1605" s="5"/>
      <c r="F1605" s="5"/>
      <c r="G1605" s="5"/>
      <c r="H1605" s="5"/>
      <c r="I1605" s="5"/>
      <c r="J1605" s="5"/>
      <c r="K1605" s="5"/>
      <c r="L1605" s="5"/>
      <c r="M1605" s="5"/>
      <c r="N1605" s="5"/>
      <c r="O1605" s="5"/>
      <c r="P1605" s="5"/>
      <c r="Q1605" s="5"/>
    </row>
    <row r="1606" spans="1:17" x14ac:dyDescent="0.25">
      <c r="A1606" s="5"/>
      <c r="B1606" s="5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  <c r="O1606" s="5"/>
      <c r="P1606" s="5"/>
      <c r="Q1606" s="5"/>
    </row>
    <row r="1607" spans="1:17" x14ac:dyDescent="0.25">
      <c r="A1607" s="5"/>
      <c r="B1607" s="5"/>
      <c r="C1607" s="5"/>
      <c r="D1607" s="5"/>
      <c r="E1607" s="5"/>
      <c r="F1607" s="5"/>
      <c r="G1607" s="5"/>
      <c r="H1607" s="5"/>
      <c r="I1607" s="5"/>
      <c r="J1607" s="5"/>
      <c r="K1607" s="5"/>
      <c r="L1607" s="5"/>
      <c r="M1607" s="5"/>
      <c r="N1607" s="5"/>
      <c r="O1607" s="5"/>
      <c r="P1607" s="5"/>
      <c r="Q1607" s="5"/>
    </row>
    <row r="1608" spans="1:17" x14ac:dyDescent="0.25">
      <c r="A1608" s="5"/>
      <c r="B1608" s="5"/>
      <c r="C1608" s="5"/>
      <c r="D1608" s="5"/>
      <c r="E1608" s="5"/>
      <c r="F1608" s="5"/>
      <c r="G1608" s="5"/>
      <c r="H1608" s="5"/>
      <c r="I1608" s="5"/>
      <c r="J1608" s="5"/>
      <c r="K1608" s="5"/>
      <c r="L1608" s="5"/>
      <c r="M1608" s="5"/>
      <c r="N1608" s="5"/>
      <c r="O1608" s="5"/>
      <c r="P1608" s="5"/>
      <c r="Q1608" s="5"/>
    </row>
    <row r="1609" spans="1:17" x14ac:dyDescent="0.25">
      <c r="A1609" s="5"/>
      <c r="B1609" s="5"/>
      <c r="C1609" s="5"/>
      <c r="D1609" s="5"/>
      <c r="E1609" s="5"/>
      <c r="F1609" s="5"/>
      <c r="G1609" s="5"/>
      <c r="H1609" s="5"/>
      <c r="I1609" s="5"/>
      <c r="J1609" s="5"/>
      <c r="K1609" s="5"/>
      <c r="L1609" s="5"/>
      <c r="M1609" s="5"/>
      <c r="N1609" s="5"/>
      <c r="O1609" s="5"/>
      <c r="P1609" s="5"/>
      <c r="Q1609" s="5"/>
    </row>
    <row r="1610" spans="1:17" x14ac:dyDescent="0.25">
      <c r="A1610" s="5"/>
      <c r="B1610" s="5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  <c r="O1610" s="5"/>
      <c r="P1610" s="5"/>
      <c r="Q1610" s="5"/>
    </row>
    <row r="1611" spans="1:17" x14ac:dyDescent="0.25">
      <c r="A1611" s="5"/>
      <c r="B1611" s="5"/>
      <c r="C1611" s="5"/>
      <c r="D1611" s="5"/>
      <c r="E1611" s="5"/>
      <c r="F1611" s="5"/>
      <c r="G1611" s="5"/>
      <c r="H1611" s="5"/>
      <c r="I1611" s="5"/>
      <c r="J1611" s="5"/>
      <c r="K1611" s="5"/>
      <c r="L1611" s="5"/>
      <c r="M1611" s="5"/>
      <c r="N1611" s="5"/>
      <c r="O1611" s="5"/>
      <c r="P1611" s="5"/>
      <c r="Q1611" s="5"/>
    </row>
    <row r="1612" spans="1:17" x14ac:dyDescent="0.25">
      <c r="A1612" s="5"/>
      <c r="B1612" s="5"/>
      <c r="C1612" s="5"/>
      <c r="D1612" s="5"/>
      <c r="E1612" s="5"/>
      <c r="F1612" s="5"/>
      <c r="G1612" s="5"/>
      <c r="H1612" s="5"/>
      <c r="I1612" s="5"/>
      <c r="J1612" s="5"/>
      <c r="K1612" s="5"/>
      <c r="L1612" s="5"/>
      <c r="M1612" s="5"/>
      <c r="N1612" s="5"/>
      <c r="O1612" s="5"/>
      <c r="P1612" s="5"/>
      <c r="Q1612" s="5"/>
    </row>
    <row r="1613" spans="1:17" x14ac:dyDescent="0.25">
      <c r="A1613" s="5"/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  <c r="O1613" s="5"/>
      <c r="P1613" s="5"/>
      <c r="Q1613" s="5"/>
    </row>
    <row r="1614" spans="1:17" x14ac:dyDescent="0.25">
      <c r="A1614" s="5"/>
      <c r="B1614" s="5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  <c r="O1614" s="5"/>
      <c r="P1614" s="5"/>
      <c r="Q1614" s="5"/>
    </row>
    <row r="1615" spans="1:17" x14ac:dyDescent="0.25">
      <c r="A1615" s="5"/>
      <c r="B1615" s="5"/>
      <c r="C1615" s="5"/>
      <c r="D1615" s="5"/>
      <c r="E1615" s="5"/>
      <c r="F1615" s="5"/>
      <c r="G1615" s="5"/>
      <c r="H1615" s="5"/>
      <c r="I1615" s="5"/>
      <c r="J1615" s="5"/>
      <c r="K1615" s="5"/>
      <c r="L1615" s="5"/>
      <c r="M1615" s="5"/>
      <c r="N1615" s="5"/>
      <c r="O1615" s="5"/>
      <c r="P1615" s="5"/>
      <c r="Q1615" s="5"/>
    </row>
    <row r="1616" spans="1:17" x14ac:dyDescent="0.25">
      <c r="A1616" s="5"/>
      <c r="B1616" s="5"/>
      <c r="C1616" s="5"/>
      <c r="D1616" s="5"/>
      <c r="E1616" s="5"/>
      <c r="F1616" s="5"/>
      <c r="G1616" s="5"/>
      <c r="H1616" s="5"/>
      <c r="I1616" s="5"/>
      <c r="J1616" s="5"/>
      <c r="K1616" s="5"/>
      <c r="L1616" s="5"/>
      <c r="M1616" s="5"/>
      <c r="N1616" s="5"/>
      <c r="O1616" s="5"/>
      <c r="P1616" s="5"/>
      <c r="Q1616" s="5"/>
    </row>
    <row r="1617" spans="1:17" x14ac:dyDescent="0.25">
      <c r="A1617" s="5"/>
      <c r="B1617" s="5"/>
      <c r="C1617" s="5"/>
      <c r="D1617" s="5"/>
      <c r="E1617" s="5"/>
      <c r="F1617" s="5"/>
      <c r="G1617" s="5"/>
      <c r="H1617" s="5"/>
      <c r="I1617" s="5"/>
      <c r="J1617" s="5"/>
      <c r="K1617" s="5"/>
      <c r="L1617" s="5"/>
      <c r="M1617" s="5"/>
      <c r="N1617" s="5"/>
      <c r="O1617" s="5"/>
      <c r="P1617" s="5"/>
      <c r="Q1617" s="5"/>
    </row>
    <row r="1618" spans="1:17" x14ac:dyDescent="0.25">
      <c r="A1618" s="5"/>
      <c r="B1618" s="5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  <c r="O1618" s="5"/>
      <c r="P1618" s="5"/>
      <c r="Q1618" s="5"/>
    </row>
    <row r="1619" spans="1:17" x14ac:dyDescent="0.25">
      <c r="A1619" s="5"/>
      <c r="B1619" s="5"/>
      <c r="C1619" s="5"/>
      <c r="D1619" s="5"/>
      <c r="E1619" s="5"/>
      <c r="F1619" s="5"/>
      <c r="G1619" s="5"/>
      <c r="H1619" s="5"/>
      <c r="I1619" s="5"/>
      <c r="J1619" s="5"/>
      <c r="K1619" s="5"/>
      <c r="L1619" s="5"/>
      <c r="M1619" s="5"/>
      <c r="N1619" s="5"/>
      <c r="O1619" s="5"/>
      <c r="P1619" s="5"/>
      <c r="Q1619" s="5"/>
    </row>
    <row r="1620" spans="1:17" x14ac:dyDescent="0.25">
      <c r="A1620" s="6" t="s">
        <v>9</v>
      </c>
      <c r="B1620" s="6"/>
      <c r="C1620" s="6"/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5"/>
    </row>
    <row r="1621" spans="1:17" x14ac:dyDescent="0.25">
      <c r="A1621" s="5"/>
      <c r="B1621" s="5"/>
      <c r="C1621" s="5"/>
      <c r="D1621" s="5"/>
      <c r="E1621" s="5">
        <v>1</v>
      </c>
      <c r="F1621" s="5">
        <v>2</v>
      </c>
      <c r="G1621" s="5">
        <v>3</v>
      </c>
      <c r="H1621" s="5">
        <v>4</v>
      </c>
      <c r="I1621" s="5">
        <v>5</v>
      </c>
      <c r="J1621" s="5"/>
      <c r="K1621" s="5" t="s">
        <v>35</v>
      </c>
      <c r="L1621" s="5" t="s">
        <v>36</v>
      </c>
      <c r="M1621" s="5"/>
      <c r="N1621" s="5"/>
      <c r="O1621" s="5" t="s">
        <v>37</v>
      </c>
      <c r="P1621" s="5" t="s">
        <v>38</v>
      </c>
      <c r="Q1621" s="5"/>
    </row>
    <row r="1622" spans="1:17" x14ac:dyDescent="0.25">
      <c r="A1622" s="5" t="s">
        <v>39</v>
      </c>
      <c r="B1622" s="7">
        <f>COUNT(Данные!$J$2:$J$75)</f>
        <v>74</v>
      </c>
      <c r="C1622" s="5"/>
      <c r="D1622" s="5"/>
      <c r="E1622" s="5">
        <f>Данные!J2</f>
        <v>8</v>
      </c>
      <c r="F1622" s="5">
        <f>Данные!J3</f>
        <v>7</v>
      </c>
      <c r="G1622" s="5">
        <f>Данные!J22</f>
        <v>6</v>
      </c>
      <c r="H1622" s="5">
        <f>Данные!J21</f>
        <v>7</v>
      </c>
      <c r="I1622" s="5">
        <f>Данные!J61</f>
        <v>7</v>
      </c>
      <c r="J1622" s="5"/>
      <c r="K1622" s="5">
        <f>_xlfn.RANK.AVG(Данные!B2,Данные!$B$2:$B$75,1)</f>
        <v>4</v>
      </c>
      <c r="L1622" s="5">
        <f>_xlfn.RANK.AVG(Данные!J2,Данные!$J$2:$J$75,1)</f>
        <v>53</v>
      </c>
      <c r="M1622" s="5"/>
      <c r="N1622" s="5"/>
      <c r="O1622" s="5">
        <f>Данные!B2+(-0.105)</f>
        <v>0.89500000000000002</v>
      </c>
      <c r="P1622" s="5">
        <f>Данные!J2</f>
        <v>8</v>
      </c>
      <c r="Q1622" s="5"/>
    </row>
    <row r="1623" spans="1:17" x14ac:dyDescent="0.25">
      <c r="A1623" s="5" t="s">
        <v>40</v>
      </c>
      <c r="B1623" s="8">
        <f>CORREL(K1622:K1695,L1622:L1695)</f>
        <v>4.485553554353669E-2</v>
      </c>
      <c r="C1623" s="5"/>
      <c r="D1623" s="5"/>
      <c r="E1623" s="5">
        <f>Данные!J6</f>
        <v>9</v>
      </c>
      <c r="F1623" s="5">
        <f>Данные!J4</f>
        <v>7</v>
      </c>
      <c r="G1623" s="5">
        <f>Данные!J23</f>
        <v>6</v>
      </c>
      <c r="H1623" s="5">
        <f>Данные!J31</f>
        <v>8</v>
      </c>
      <c r="I1623" s="5">
        <f>Данные!J67</f>
        <v>6</v>
      </c>
      <c r="J1623" s="5"/>
      <c r="K1623" s="5">
        <f>_xlfn.RANK.AVG(Данные!B3,Данные!$B$2:$B$75,1)</f>
        <v>13.5</v>
      </c>
      <c r="L1623" s="5">
        <f>_xlfn.RANK.AVG(Данные!J3,Данные!$J$2:$J$75,1)</f>
        <v>36</v>
      </c>
      <c r="M1623" s="5"/>
      <c r="N1623" s="5"/>
      <c r="O1623" s="5">
        <f>Данные!B3+(-0.105)</f>
        <v>1.895</v>
      </c>
      <c r="P1623" s="5">
        <f>Данные!J3</f>
        <v>7</v>
      </c>
      <c r="Q1623" s="5"/>
    </row>
    <row r="1624" spans="1:17" x14ac:dyDescent="0.25">
      <c r="A1624" s="5" t="s">
        <v>41</v>
      </c>
      <c r="B1624" s="8">
        <f>TDIST(ABS(B1623*SQRT((B1622-2)/(1-B1623^2))),B1622-2,2)</f>
        <v>0.7043286154060362</v>
      </c>
      <c r="C1624" s="5"/>
      <c r="D1624" s="5"/>
      <c r="E1624" s="5">
        <f>Данные!J7</f>
        <v>7</v>
      </c>
      <c r="F1624" s="5">
        <f>Данные!J5</f>
        <v>9</v>
      </c>
      <c r="G1624" s="5">
        <f>Данные!J24</f>
        <v>9</v>
      </c>
      <c r="H1624" s="5">
        <f>Данные!J36</f>
        <v>6</v>
      </c>
      <c r="I1624" s="5">
        <f>Данные!J68</f>
        <v>5</v>
      </c>
      <c r="J1624" s="5"/>
      <c r="K1624" s="5">
        <f>_xlfn.RANK.AVG(Данные!B4,Данные!$B$2:$B$75,1)</f>
        <v>13.5</v>
      </c>
      <c r="L1624" s="5">
        <f>_xlfn.RANK.AVG(Данные!J4,Данные!$J$2:$J$75,1)</f>
        <v>36</v>
      </c>
      <c r="M1624" s="5"/>
      <c r="N1624" s="5"/>
      <c r="O1624" s="5">
        <f>Данные!B4+(-0.07)</f>
        <v>1.93</v>
      </c>
      <c r="P1624" s="5">
        <f>Данные!J4</f>
        <v>7</v>
      </c>
      <c r="Q1624" s="5"/>
    </row>
    <row r="1625" spans="1:17" x14ac:dyDescent="0.25">
      <c r="A1625" s="5" t="s">
        <v>42</v>
      </c>
      <c r="B1625" s="8"/>
      <c r="C1625" s="5"/>
      <c r="D1625" s="5"/>
      <c r="E1625" s="5">
        <f>Данные!J8</f>
        <v>4</v>
      </c>
      <c r="F1625" s="5">
        <f>Данные!J9</f>
        <v>8</v>
      </c>
      <c r="G1625" s="5">
        <f>Данные!J25</f>
        <v>1</v>
      </c>
      <c r="H1625" s="5">
        <f>Данные!J39</f>
        <v>9</v>
      </c>
      <c r="I1625" s="5">
        <f>Данные!J71</f>
        <v>6</v>
      </c>
      <c r="J1625" s="5"/>
      <c r="K1625" s="5">
        <f>_xlfn.RANK.AVG(Данные!B5,Данные!$B$2:$B$75,1)</f>
        <v>13.5</v>
      </c>
      <c r="L1625" s="5">
        <f>_xlfn.RANK.AVG(Данные!J5,Данные!$J$2:$J$75,1)</f>
        <v>65.5</v>
      </c>
      <c r="M1625" s="5"/>
      <c r="N1625" s="5"/>
      <c r="O1625" s="5">
        <f>Данные!B5+(-0.105)</f>
        <v>1.895</v>
      </c>
      <c r="P1625" s="5">
        <f>Данные!J5</f>
        <v>9</v>
      </c>
      <c r="Q1625" s="5"/>
    </row>
    <row r="1626" spans="1:17" x14ac:dyDescent="0.25">
      <c r="A1626" s="5" t="s">
        <v>43</v>
      </c>
      <c r="B1626" s="8"/>
      <c r="C1626" s="5"/>
      <c r="D1626" s="5"/>
      <c r="E1626" s="5">
        <f>Данные!J11</f>
        <v>7</v>
      </c>
      <c r="F1626" s="5">
        <f>Данные!J10</f>
        <v>4</v>
      </c>
      <c r="G1626" s="5">
        <f>Данные!J26</f>
        <v>6</v>
      </c>
      <c r="H1626" s="5">
        <f>Данные!J41</f>
        <v>4</v>
      </c>
      <c r="I1626" s="5">
        <f>Данные!J72</f>
        <v>9</v>
      </c>
      <c r="J1626" s="5"/>
      <c r="K1626" s="5">
        <f>_xlfn.RANK.AVG(Данные!B6,Данные!$B$2:$B$75,1)</f>
        <v>4</v>
      </c>
      <c r="L1626" s="5">
        <f>_xlfn.RANK.AVG(Данные!J6,Данные!$J$2:$J$75,1)</f>
        <v>65.5</v>
      </c>
      <c r="M1626" s="5"/>
      <c r="N1626" s="5"/>
      <c r="O1626" s="5">
        <f>Данные!B6+(-0.105)</f>
        <v>0.89500000000000002</v>
      </c>
      <c r="P1626" s="5">
        <f>Данные!J6</f>
        <v>9</v>
      </c>
      <c r="Q1626" s="5"/>
    </row>
    <row r="1627" spans="1:17" x14ac:dyDescent="0.25">
      <c r="A1627" s="5" t="s">
        <v>44</v>
      </c>
      <c r="B1627" s="8"/>
      <c r="C1627" s="5"/>
      <c r="D1627" s="5"/>
      <c r="E1627" s="5">
        <f>Данные!J13</f>
        <v>8</v>
      </c>
      <c r="F1627" s="5">
        <f>Данные!J12</f>
        <v>8</v>
      </c>
      <c r="G1627" s="5">
        <f>Данные!J27</f>
        <v>6</v>
      </c>
      <c r="H1627" s="5">
        <f>Данные!J43</f>
        <v>9</v>
      </c>
      <c r="I1627" s="5">
        <f>Данные!J73</f>
        <v>7</v>
      </c>
      <c r="J1627" s="5"/>
      <c r="K1627" s="5">
        <f>_xlfn.RANK.AVG(Данные!B7,Данные!$B$2:$B$75,1)</f>
        <v>4</v>
      </c>
      <c r="L1627" s="5">
        <f>_xlfn.RANK.AVG(Данные!J7,Данные!$J$2:$J$75,1)</f>
        <v>36</v>
      </c>
      <c r="M1627" s="5"/>
      <c r="N1627" s="5"/>
      <c r="O1627" s="5">
        <f>Данные!B7+(-0.105)</f>
        <v>0.89500000000000002</v>
      </c>
      <c r="P1627" s="5">
        <f>Данные!J7</f>
        <v>7</v>
      </c>
      <c r="Q1627" s="5"/>
    </row>
    <row r="1628" spans="1:17" x14ac:dyDescent="0.25">
      <c r="A1628" s="5" t="s">
        <v>45</v>
      </c>
      <c r="B1628" s="8"/>
      <c r="C1628" s="5"/>
      <c r="D1628" s="5"/>
      <c r="E1628" s="5">
        <f>Данные!J14</f>
        <v>9</v>
      </c>
      <c r="F1628" s="5">
        <f>Данные!J15</f>
        <v>7</v>
      </c>
      <c r="G1628" s="5">
        <f>Данные!J28</f>
        <v>8</v>
      </c>
      <c r="H1628" s="5">
        <f>Данные!J46</f>
        <v>8</v>
      </c>
      <c r="I1628" s="5"/>
      <c r="J1628" s="5"/>
      <c r="K1628" s="5">
        <f>_xlfn.RANK.AVG(Данные!B8,Данные!$B$2:$B$75,1)</f>
        <v>4</v>
      </c>
      <c r="L1628" s="5">
        <f>_xlfn.RANK.AVG(Данные!J8,Данные!$J$2:$J$75,1)</f>
        <v>4.5</v>
      </c>
      <c r="M1628" s="5"/>
      <c r="N1628" s="5"/>
      <c r="O1628" s="5">
        <f>Данные!B8+(-0.105)</f>
        <v>0.89500000000000002</v>
      </c>
      <c r="P1628" s="5">
        <f>Данные!J8</f>
        <v>4</v>
      </c>
      <c r="Q1628" s="5"/>
    </row>
    <row r="1629" spans="1:17" x14ac:dyDescent="0.25">
      <c r="A1629" s="5" t="s">
        <v>46</v>
      </c>
      <c r="B1629" s="8"/>
      <c r="C1629" s="5"/>
      <c r="D1629" s="5"/>
      <c r="E1629" s="5"/>
      <c r="F1629" s="5">
        <f>Данные!J16</f>
        <v>6</v>
      </c>
      <c r="G1629" s="5">
        <f>Данные!J29</f>
        <v>7</v>
      </c>
      <c r="H1629" s="5">
        <f>Данные!J48</f>
        <v>7</v>
      </c>
      <c r="I1629" s="5"/>
      <c r="J1629" s="5"/>
      <c r="K1629" s="5">
        <f>_xlfn.RANK.AVG(Данные!B9,Данные!$B$2:$B$75,1)</f>
        <v>13.5</v>
      </c>
      <c r="L1629" s="5">
        <f>_xlfn.RANK.AVG(Данные!J9,Данные!$J$2:$J$75,1)</f>
        <v>53</v>
      </c>
      <c r="M1629" s="5"/>
      <c r="N1629" s="5"/>
      <c r="O1629" s="5">
        <f>Данные!B9+(-0.105)</f>
        <v>1.895</v>
      </c>
      <c r="P1629" s="5">
        <f>Данные!J9</f>
        <v>8</v>
      </c>
      <c r="Q1629" s="5"/>
    </row>
    <row r="1630" spans="1:17" x14ac:dyDescent="0.25">
      <c r="A1630" s="5" t="s">
        <v>47</v>
      </c>
      <c r="B1630" s="8"/>
      <c r="C1630" s="5"/>
      <c r="D1630" s="5"/>
      <c r="E1630" s="5"/>
      <c r="F1630" s="5">
        <f>Данные!J17</f>
        <v>7</v>
      </c>
      <c r="G1630" s="5">
        <f>Данные!J30</f>
        <v>6</v>
      </c>
      <c r="H1630" s="5">
        <f>Данные!J53</f>
        <v>7</v>
      </c>
      <c r="I1630" s="5"/>
      <c r="J1630" s="5"/>
      <c r="K1630" s="5">
        <f>_xlfn.RANK.AVG(Данные!B10,Данные!$B$2:$B$75,1)</f>
        <v>13.5</v>
      </c>
      <c r="L1630" s="5">
        <f>_xlfn.RANK.AVG(Данные!J10,Данные!$J$2:$J$75,1)</f>
        <v>4.5</v>
      </c>
      <c r="M1630" s="5"/>
      <c r="N1630" s="5"/>
      <c r="O1630" s="5">
        <f>Данные!B10+(-0.105)</f>
        <v>1.895</v>
      </c>
      <c r="P1630" s="5">
        <f>Данные!J10</f>
        <v>4</v>
      </c>
      <c r="Q1630" s="5"/>
    </row>
    <row r="1631" spans="1:17" x14ac:dyDescent="0.25">
      <c r="A1631" s="5" t="s">
        <v>48</v>
      </c>
      <c r="B1631" s="8"/>
      <c r="C1631" s="5"/>
      <c r="D1631" s="5"/>
      <c r="E1631" s="5"/>
      <c r="F1631" s="5">
        <f>Данные!J18</f>
        <v>7</v>
      </c>
      <c r="G1631" s="5">
        <f>Данные!J32</f>
        <v>4</v>
      </c>
      <c r="H1631" s="5">
        <f>Данные!J55</f>
        <v>7</v>
      </c>
      <c r="I1631" s="5"/>
      <c r="J1631" s="5"/>
      <c r="K1631" s="5">
        <f>_xlfn.RANK.AVG(Данные!B11,Данные!$B$2:$B$75,1)</f>
        <v>4</v>
      </c>
      <c r="L1631" s="5">
        <f>_xlfn.RANK.AVG(Данные!J11,Данные!$J$2:$J$75,1)</f>
        <v>36</v>
      </c>
      <c r="M1631" s="5"/>
      <c r="N1631" s="5"/>
      <c r="O1631" s="5">
        <f>Данные!B11+(-0.07)</f>
        <v>0.92999999999999994</v>
      </c>
      <c r="P1631" s="5">
        <f>Данные!J11</f>
        <v>7</v>
      </c>
      <c r="Q1631" s="5"/>
    </row>
    <row r="1632" spans="1:17" x14ac:dyDescent="0.25">
      <c r="A1632" s="5" t="s">
        <v>49</v>
      </c>
      <c r="B1632" s="8"/>
      <c r="C1632" s="5"/>
      <c r="D1632" s="5"/>
      <c r="E1632" s="5"/>
      <c r="F1632" s="5">
        <f>Данные!J19</f>
        <v>4</v>
      </c>
      <c r="G1632" s="5">
        <f>Данные!J33</f>
        <v>9</v>
      </c>
      <c r="H1632" s="5">
        <f>Данные!J56</f>
        <v>7</v>
      </c>
      <c r="I1632" s="5"/>
      <c r="J1632" s="5"/>
      <c r="K1632" s="5">
        <f>_xlfn.RANK.AVG(Данные!B12,Данные!$B$2:$B$75,1)</f>
        <v>13.5</v>
      </c>
      <c r="L1632" s="5">
        <f>_xlfn.RANK.AVG(Данные!J12,Данные!$J$2:$J$75,1)</f>
        <v>53</v>
      </c>
      <c r="M1632" s="5"/>
      <c r="N1632" s="5"/>
      <c r="O1632" s="5">
        <f>Данные!B12+(-0.07)</f>
        <v>1.93</v>
      </c>
      <c r="P1632" s="5">
        <f>Данные!J12</f>
        <v>8</v>
      </c>
      <c r="Q1632" s="5"/>
    </row>
    <row r="1633" spans="1:17" x14ac:dyDescent="0.25">
      <c r="A1633" s="5" t="s">
        <v>50</v>
      </c>
      <c r="B1633" s="8"/>
      <c r="C1633" s="5"/>
      <c r="D1633" s="5"/>
      <c r="E1633" s="5"/>
      <c r="F1633" s="5">
        <f>Данные!J20</f>
        <v>8</v>
      </c>
      <c r="G1633" s="5">
        <f>Данные!J34</f>
        <v>8</v>
      </c>
      <c r="H1633" s="5">
        <f>Данные!J57</f>
        <v>6</v>
      </c>
      <c r="I1633" s="5"/>
      <c r="J1633" s="5"/>
      <c r="K1633" s="5">
        <f>_xlfn.RANK.AVG(Данные!B13,Данные!$B$2:$B$75,1)</f>
        <v>4</v>
      </c>
      <c r="L1633" s="5">
        <f>_xlfn.RANK.AVG(Данные!J13,Данные!$J$2:$J$75,1)</f>
        <v>53</v>
      </c>
      <c r="M1633" s="5"/>
      <c r="N1633" s="5"/>
      <c r="O1633" s="5">
        <f>Данные!B13+(-0.07)</f>
        <v>0.92999999999999994</v>
      </c>
      <c r="P1633" s="5">
        <f>Данные!J13</f>
        <v>8</v>
      </c>
      <c r="Q1633" s="5"/>
    </row>
    <row r="1634" spans="1:17" x14ac:dyDescent="0.25">
      <c r="A1634" s="5"/>
      <c r="B1634" s="5"/>
      <c r="C1634" s="5"/>
      <c r="D1634" s="5"/>
      <c r="E1634" s="5"/>
      <c r="F1634" s="5"/>
      <c r="G1634" s="5">
        <f>Данные!J35</f>
        <v>10</v>
      </c>
      <c r="H1634" s="5">
        <f>Данные!J58</f>
        <v>9</v>
      </c>
      <c r="I1634" s="5"/>
      <c r="J1634" s="5"/>
      <c r="K1634" s="5">
        <f>_xlfn.RANK.AVG(Данные!B14,Данные!$B$2:$B$75,1)</f>
        <v>4</v>
      </c>
      <c r="L1634" s="5">
        <f>_xlfn.RANK.AVG(Данные!J14,Данные!$J$2:$J$75,1)</f>
        <v>65.5</v>
      </c>
      <c r="M1634" s="5"/>
      <c r="N1634" s="5"/>
      <c r="O1634" s="5">
        <f>Данные!B14+(-0.07)</f>
        <v>0.92999999999999994</v>
      </c>
      <c r="P1634" s="5">
        <f>Данные!J14</f>
        <v>9</v>
      </c>
      <c r="Q1634" s="5"/>
    </row>
    <row r="1635" spans="1:17" x14ac:dyDescent="0.25">
      <c r="A1635" s="5"/>
      <c r="B1635" s="5"/>
      <c r="C1635" s="5"/>
      <c r="D1635" s="5"/>
      <c r="E1635" s="5"/>
      <c r="F1635" s="5"/>
      <c r="G1635" s="5">
        <f>Данные!J37</f>
        <v>7</v>
      </c>
      <c r="H1635" s="5">
        <f>Данные!J59</f>
        <v>9</v>
      </c>
      <c r="I1635" s="5"/>
      <c r="J1635" s="5"/>
      <c r="K1635" s="5">
        <f>_xlfn.RANK.AVG(Данные!B15,Данные!$B$2:$B$75,1)</f>
        <v>13.5</v>
      </c>
      <c r="L1635" s="5">
        <f>_xlfn.RANK.AVG(Данные!J15,Данные!$J$2:$J$75,1)</f>
        <v>36</v>
      </c>
      <c r="M1635" s="5"/>
      <c r="N1635" s="5"/>
      <c r="O1635" s="5">
        <f>Данные!B15+(-0.035)</f>
        <v>1.9650000000000001</v>
      </c>
      <c r="P1635" s="5">
        <f>Данные!J15</f>
        <v>7</v>
      </c>
      <c r="Q1635" s="5"/>
    </row>
    <row r="1636" spans="1:17" x14ac:dyDescent="0.25">
      <c r="A1636" s="5"/>
      <c r="B1636" s="5"/>
      <c r="C1636" s="5"/>
      <c r="D1636" s="5"/>
      <c r="E1636" s="5"/>
      <c r="F1636" s="5"/>
      <c r="G1636" s="5">
        <f>Данные!J38</f>
        <v>6</v>
      </c>
      <c r="H1636" s="5">
        <f>Данные!J60</f>
        <v>7</v>
      </c>
      <c r="I1636" s="5"/>
      <c r="J1636" s="5"/>
      <c r="K1636" s="5">
        <f>_xlfn.RANK.AVG(Данные!B16,Данные!$B$2:$B$75,1)</f>
        <v>13.5</v>
      </c>
      <c r="L1636" s="5">
        <f>_xlfn.RANK.AVG(Данные!J16,Данные!$J$2:$J$75,1)</f>
        <v>17.5</v>
      </c>
      <c r="M1636" s="5"/>
      <c r="N1636" s="5"/>
      <c r="O1636" s="5">
        <f>Данные!B16+(-0.105)</f>
        <v>1.895</v>
      </c>
      <c r="P1636" s="5">
        <f>Данные!J16</f>
        <v>6</v>
      </c>
      <c r="Q1636" s="5"/>
    </row>
    <row r="1637" spans="1:17" x14ac:dyDescent="0.25">
      <c r="A1637" s="5"/>
      <c r="B1637" s="5"/>
      <c r="C1637" s="5"/>
      <c r="D1637" s="5"/>
      <c r="E1637" s="5"/>
      <c r="F1637" s="5"/>
      <c r="G1637" s="5">
        <f>Данные!J40</f>
        <v>8</v>
      </c>
      <c r="H1637" s="5">
        <f>Данные!J62</f>
        <v>9</v>
      </c>
      <c r="I1637" s="5"/>
      <c r="J1637" s="5"/>
      <c r="K1637" s="5">
        <f>_xlfn.RANK.AVG(Данные!B17,Данные!$B$2:$B$75,1)</f>
        <v>13.5</v>
      </c>
      <c r="L1637" s="5">
        <f>_xlfn.RANK.AVG(Данные!J17,Данные!$J$2:$J$75,1)</f>
        <v>36</v>
      </c>
      <c r="M1637" s="5"/>
      <c r="N1637" s="5"/>
      <c r="O1637" s="5">
        <f>Данные!B17+(0)</f>
        <v>2</v>
      </c>
      <c r="P1637" s="5">
        <f>Данные!J17</f>
        <v>7</v>
      </c>
      <c r="Q1637" s="5"/>
    </row>
    <row r="1638" spans="1:17" x14ac:dyDescent="0.25">
      <c r="A1638" s="5"/>
      <c r="B1638" s="5"/>
      <c r="C1638" s="5"/>
      <c r="D1638" s="5"/>
      <c r="E1638" s="5"/>
      <c r="F1638" s="5"/>
      <c r="G1638" s="5">
        <f>Данные!J42</f>
        <v>7</v>
      </c>
      <c r="H1638" s="5">
        <f>Данные!J63</f>
        <v>7</v>
      </c>
      <c r="I1638" s="5"/>
      <c r="J1638" s="5"/>
      <c r="K1638" s="5">
        <f>_xlfn.RANK.AVG(Данные!B18,Данные!$B$2:$B$75,1)</f>
        <v>13.5</v>
      </c>
      <c r="L1638" s="5">
        <f>_xlfn.RANK.AVG(Данные!J18,Данные!$J$2:$J$75,1)</f>
        <v>36</v>
      </c>
      <c r="M1638" s="5"/>
      <c r="N1638" s="5"/>
      <c r="O1638" s="5">
        <f>Данные!B18+(0.035)</f>
        <v>2.0350000000000001</v>
      </c>
      <c r="P1638" s="5">
        <f>Данные!J18</f>
        <v>7</v>
      </c>
      <c r="Q1638" s="5"/>
    </row>
    <row r="1639" spans="1:17" x14ac:dyDescent="0.25">
      <c r="A1639" s="5"/>
      <c r="B1639" s="5"/>
      <c r="C1639" s="5"/>
      <c r="D1639" s="5"/>
      <c r="E1639" s="5"/>
      <c r="F1639" s="5"/>
      <c r="G1639" s="5">
        <f>Данные!J44</f>
        <v>5</v>
      </c>
      <c r="H1639" s="5">
        <f>Данные!J64</f>
        <v>7</v>
      </c>
      <c r="I1639" s="5"/>
      <c r="J1639" s="5"/>
      <c r="K1639" s="5">
        <f>_xlfn.RANK.AVG(Данные!B19,Данные!$B$2:$B$75,1)</f>
        <v>13.5</v>
      </c>
      <c r="L1639" s="5">
        <f>_xlfn.RANK.AVG(Данные!J19,Данные!$J$2:$J$75,1)</f>
        <v>4.5</v>
      </c>
      <c r="M1639" s="5"/>
      <c r="N1639" s="5"/>
      <c r="O1639" s="5">
        <f>Данные!B19+(-0.07)</f>
        <v>1.93</v>
      </c>
      <c r="P1639" s="5">
        <f>Данные!J19</f>
        <v>4</v>
      </c>
      <c r="Q1639" s="5"/>
    </row>
    <row r="1640" spans="1:17" x14ac:dyDescent="0.25">
      <c r="A1640" s="5"/>
      <c r="B1640" s="5"/>
      <c r="C1640" s="5"/>
      <c r="D1640" s="5"/>
      <c r="E1640" s="5"/>
      <c r="F1640" s="5"/>
      <c r="G1640" s="5">
        <f>Данные!J45</f>
        <v>7</v>
      </c>
      <c r="H1640" s="5">
        <f>Данные!J65</f>
        <v>10</v>
      </c>
      <c r="I1640" s="5"/>
      <c r="J1640" s="5"/>
      <c r="K1640" s="5">
        <f>_xlfn.RANK.AVG(Данные!B20,Данные!$B$2:$B$75,1)</f>
        <v>13.5</v>
      </c>
      <c r="L1640" s="5">
        <f>_xlfn.RANK.AVG(Данные!J20,Данные!$J$2:$J$75,1)</f>
        <v>53</v>
      </c>
      <c r="M1640" s="5"/>
      <c r="N1640" s="5"/>
      <c r="O1640" s="5">
        <f>Данные!B20+(-0.035)</f>
        <v>1.9650000000000001</v>
      </c>
      <c r="P1640" s="5">
        <f>Данные!J20</f>
        <v>8</v>
      </c>
      <c r="Q1640" s="5"/>
    </row>
    <row r="1641" spans="1:17" x14ac:dyDescent="0.25">
      <c r="A1641" s="5"/>
      <c r="B1641" s="5"/>
      <c r="C1641" s="5"/>
      <c r="D1641" s="5"/>
      <c r="E1641" s="5"/>
      <c r="F1641" s="5"/>
      <c r="G1641" s="5">
        <f>Данные!J47</f>
        <v>5</v>
      </c>
      <c r="H1641" s="5">
        <f>Данные!J66</f>
        <v>9</v>
      </c>
      <c r="I1641" s="5"/>
      <c r="J1641" s="5"/>
      <c r="K1641" s="5">
        <f>_xlfn.RANK.AVG(Данные!B21,Данные!$B$2:$B$75,1)</f>
        <v>56.5</v>
      </c>
      <c r="L1641" s="5">
        <f>_xlfn.RANK.AVG(Данные!J21,Данные!$J$2:$J$75,1)</f>
        <v>36</v>
      </c>
      <c r="M1641" s="5"/>
      <c r="N1641" s="5"/>
      <c r="O1641" s="5">
        <f>Данные!B21+(-0.105)</f>
        <v>3.895</v>
      </c>
      <c r="P1641" s="5">
        <f>Данные!J21</f>
        <v>7</v>
      </c>
      <c r="Q1641" s="5"/>
    </row>
    <row r="1642" spans="1:17" x14ac:dyDescent="0.25">
      <c r="A1642" s="5"/>
      <c r="B1642" s="5"/>
      <c r="C1642" s="5"/>
      <c r="D1642" s="5"/>
      <c r="E1642" s="5"/>
      <c r="F1642" s="5"/>
      <c r="G1642" s="5">
        <f>Данные!J49</f>
        <v>6</v>
      </c>
      <c r="H1642" s="5">
        <f>Данные!J69</f>
        <v>7</v>
      </c>
      <c r="I1642" s="5"/>
      <c r="J1642" s="5"/>
      <c r="K1642" s="5">
        <f>_xlfn.RANK.AVG(Данные!B22,Данные!$B$2:$B$75,1)</f>
        <v>32</v>
      </c>
      <c r="L1642" s="5">
        <f>_xlfn.RANK.AVG(Данные!J22,Данные!$J$2:$J$75,1)</f>
        <v>17.5</v>
      </c>
      <c r="M1642" s="5"/>
      <c r="N1642" s="5"/>
      <c r="O1642" s="5">
        <f>Данные!B22+(-0.105)</f>
        <v>2.895</v>
      </c>
      <c r="P1642" s="5">
        <f>Данные!J22</f>
        <v>6</v>
      </c>
      <c r="Q1642" s="5"/>
    </row>
    <row r="1643" spans="1:17" x14ac:dyDescent="0.25">
      <c r="A1643" s="5"/>
      <c r="B1643" s="5"/>
      <c r="C1643" s="5"/>
      <c r="D1643" s="5"/>
      <c r="E1643" s="5"/>
      <c r="F1643" s="5"/>
      <c r="G1643" s="5">
        <f>Данные!J50</f>
        <v>4</v>
      </c>
      <c r="H1643" s="5">
        <f>Данные!J70</f>
        <v>8</v>
      </c>
      <c r="I1643" s="5"/>
      <c r="J1643" s="5"/>
      <c r="K1643" s="5">
        <f>_xlfn.RANK.AVG(Данные!B23,Данные!$B$2:$B$75,1)</f>
        <v>32</v>
      </c>
      <c r="L1643" s="5">
        <f>_xlfn.RANK.AVG(Данные!J23,Данные!$J$2:$J$75,1)</f>
        <v>17.5</v>
      </c>
      <c r="M1643" s="5"/>
      <c r="N1643" s="5"/>
      <c r="O1643" s="5">
        <f>Данные!B23+(-0.07)</f>
        <v>2.93</v>
      </c>
      <c r="P1643" s="5">
        <f>Данные!J23</f>
        <v>6</v>
      </c>
      <c r="Q1643" s="5"/>
    </row>
    <row r="1644" spans="1:17" x14ac:dyDescent="0.25">
      <c r="A1644" s="5"/>
      <c r="B1644" s="5"/>
      <c r="C1644" s="5"/>
      <c r="D1644" s="5"/>
      <c r="E1644" s="5"/>
      <c r="F1644" s="5"/>
      <c r="G1644" s="5">
        <f>Данные!J51</f>
        <v>7</v>
      </c>
      <c r="H1644" s="5">
        <f>Данные!J74</f>
        <v>9</v>
      </c>
      <c r="I1644" s="5"/>
      <c r="J1644" s="5"/>
      <c r="K1644" s="5">
        <f>_xlfn.RANK.AVG(Данные!B24,Данные!$B$2:$B$75,1)</f>
        <v>32</v>
      </c>
      <c r="L1644" s="5">
        <f>_xlfn.RANK.AVG(Данные!J24,Данные!$J$2:$J$75,1)</f>
        <v>65.5</v>
      </c>
      <c r="M1644" s="5"/>
      <c r="N1644" s="5"/>
      <c r="O1644" s="5">
        <f>Данные!B24+(-0.105)</f>
        <v>2.895</v>
      </c>
      <c r="P1644" s="5">
        <f>Данные!J24</f>
        <v>9</v>
      </c>
      <c r="Q1644" s="5"/>
    </row>
    <row r="1645" spans="1:17" x14ac:dyDescent="0.25">
      <c r="A1645" s="5"/>
      <c r="B1645" s="5"/>
      <c r="C1645" s="5"/>
      <c r="D1645" s="5"/>
      <c r="E1645" s="5"/>
      <c r="F1645" s="5"/>
      <c r="G1645" s="5">
        <f>Данные!J52</f>
        <v>9</v>
      </c>
      <c r="H1645" s="5">
        <f>Данные!J75</f>
        <v>6</v>
      </c>
      <c r="I1645" s="5"/>
      <c r="J1645" s="5"/>
      <c r="K1645" s="5">
        <f>_xlfn.RANK.AVG(Данные!B25,Данные!$B$2:$B$75,1)</f>
        <v>32</v>
      </c>
      <c r="L1645" s="5">
        <f>_xlfn.RANK.AVG(Данные!J25,Данные!$J$2:$J$75,1)</f>
        <v>1</v>
      </c>
      <c r="M1645" s="5"/>
      <c r="N1645" s="5"/>
      <c r="O1645" s="5">
        <f>Данные!B25+(-0.105)</f>
        <v>2.895</v>
      </c>
      <c r="P1645" s="5">
        <f>Данные!J25</f>
        <v>1</v>
      </c>
      <c r="Q1645" s="5"/>
    </row>
    <row r="1646" spans="1:17" x14ac:dyDescent="0.25">
      <c r="A1646" s="5"/>
      <c r="B1646" s="5"/>
      <c r="C1646" s="5"/>
      <c r="D1646" s="5"/>
      <c r="E1646" s="5"/>
      <c r="F1646" s="5"/>
      <c r="G1646" s="5">
        <f>Данные!J54</f>
        <v>6</v>
      </c>
      <c r="H1646" s="5"/>
      <c r="I1646" s="5"/>
      <c r="J1646" s="5"/>
      <c r="K1646" s="5">
        <f>_xlfn.RANK.AVG(Данные!B26,Данные!$B$2:$B$75,1)</f>
        <v>32</v>
      </c>
      <c r="L1646" s="5">
        <f>_xlfn.RANK.AVG(Данные!J26,Данные!$J$2:$J$75,1)</f>
        <v>17.5</v>
      </c>
      <c r="M1646" s="5"/>
      <c r="N1646" s="5"/>
      <c r="O1646" s="5">
        <f>Данные!B26+(-0.035)</f>
        <v>2.9649999999999999</v>
      </c>
      <c r="P1646" s="5">
        <f>Данные!J26</f>
        <v>6</v>
      </c>
      <c r="Q1646" s="5"/>
    </row>
    <row r="1647" spans="1:17" x14ac:dyDescent="0.25">
      <c r="A1647" s="5"/>
      <c r="B1647" s="5"/>
      <c r="C1647" s="5"/>
      <c r="D1647" s="5"/>
      <c r="E1647" s="5"/>
      <c r="F1647" s="5"/>
      <c r="G1647" s="5"/>
      <c r="H1647" s="5"/>
      <c r="I1647" s="5"/>
      <c r="J1647" s="5"/>
      <c r="K1647" s="5">
        <f>_xlfn.RANK.AVG(Данные!B27,Данные!$B$2:$B$75,1)</f>
        <v>32</v>
      </c>
      <c r="L1647" s="5">
        <f>_xlfn.RANK.AVG(Данные!J27,Данные!$J$2:$J$75,1)</f>
        <v>17.5</v>
      </c>
      <c r="M1647" s="5"/>
      <c r="N1647" s="5"/>
      <c r="O1647" s="5">
        <f>Данные!B27+(0)</f>
        <v>3</v>
      </c>
      <c r="P1647" s="5">
        <f>Данные!J27</f>
        <v>6</v>
      </c>
      <c r="Q1647" s="5"/>
    </row>
    <row r="1648" spans="1:17" x14ac:dyDescent="0.25">
      <c r="A1648" s="5"/>
      <c r="B1648" s="5"/>
      <c r="C1648" s="5"/>
      <c r="D1648" s="5"/>
      <c r="E1648" s="5"/>
      <c r="F1648" s="5"/>
      <c r="G1648" s="5"/>
      <c r="H1648" s="5"/>
      <c r="I1648" s="5"/>
      <c r="J1648" s="5"/>
      <c r="K1648" s="5">
        <f>_xlfn.RANK.AVG(Данные!B28,Данные!$B$2:$B$75,1)</f>
        <v>32</v>
      </c>
      <c r="L1648" s="5">
        <f>_xlfn.RANK.AVG(Данные!J28,Данные!$J$2:$J$75,1)</f>
        <v>53</v>
      </c>
      <c r="M1648" s="5"/>
      <c r="N1648" s="5"/>
      <c r="O1648" s="5">
        <f>Данные!B28+(-0.105)</f>
        <v>2.895</v>
      </c>
      <c r="P1648" s="5">
        <f>Данные!J28</f>
        <v>8</v>
      </c>
      <c r="Q1648" s="5"/>
    </row>
    <row r="1649" spans="1:17" x14ac:dyDescent="0.25">
      <c r="A1649" s="5"/>
      <c r="B1649" s="5"/>
      <c r="C1649" s="5"/>
      <c r="D1649" s="5"/>
      <c r="E1649" s="5"/>
      <c r="F1649" s="5"/>
      <c r="G1649" s="5"/>
      <c r="H1649" s="5"/>
      <c r="I1649" s="5"/>
      <c r="J1649" s="5"/>
      <c r="K1649" s="5">
        <f>_xlfn.RANK.AVG(Данные!B29,Данные!$B$2:$B$75,1)</f>
        <v>32</v>
      </c>
      <c r="L1649" s="5">
        <f>_xlfn.RANK.AVG(Данные!J29,Данные!$J$2:$J$75,1)</f>
        <v>36</v>
      </c>
      <c r="M1649" s="5"/>
      <c r="N1649" s="5"/>
      <c r="O1649" s="5">
        <f>Данные!B29+(-0.105)</f>
        <v>2.895</v>
      </c>
      <c r="P1649" s="5">
        <f>Данные!J29</f>
        <v>7</v>
      </c>
      <c r="Q1649" s="5"/>
    </row>
    <row r="1650" spans="1:17" x14ac:dyDescent="0.25">
      <c r="A1650" s="5"/>
      <c r="B1650" s="5"/>
      <c r="C1650" s="5"/>
      <c r="D1650" s="5"/>
      <c r="E1650" s="5"/>
      <c r="F1650" s="5"/>
      <c r="G1650" s="5"/>
      <c r="H1650" s="5"/>
      <c r="I1650" s="5"/>
      <c r="J1650" s="5"/>
      <c r="K1650" s="5">
        <f>_xlfn.RANK.AVG(Данные!B30,Данные!$B$2:$B$75,1)</f>
        <v>32</v>
      </c>
      <c r="L1650" s="5">
        <f>_xlfn.RANK.AVG(Данные!J30,Данные!$J$2:$J$75,1)</f>
        <v>17.5</v>
      </c>
      <c r="M1650" s="5"/>
      <c r="N1650" s="5"/>
      <c r="O1650" s="5">
        <f>Данные!B30+(0.035)</f>
        <v>3.0350000000000001</v>
      </c>
      <c r="P1650" s="5">
        <f>Данные!J30</f>
        <v>6</v>
      </c>
      <c r="Q1650" s="5"/>
    </row>
    <row r="1651" spans="1:17" x14ac:dyDescent="0.25">
      <c r="A1651" s="5"/>
      <c r="B1651" s="5"/>
      <c r="C1651" s="5"/>
      <c r="D1651" s="5"/>
      <c r="E1651" s="5"/>
      <c r="F1651" s="5"/>
      <c r="G1651" s="5"/>
      <c r="H1651" s="5"/>
      <c r="I1651" s="5"/>
      <c r="J1651" s="5"/>
      <c r="K1651" s="5">
        <f>_xlfn.RANK.AVG(Данные!B31,Данные!$B$2:$B$75,1)</f>
        <v>56.5</v>
      </c>
      <c r="L1651" s="5">
        <f>_xlfn.RANK.AVG(Данные!J31,Данные!$J$2:$J$75,1)</f>
        <v>53</v>
      </c>
      <c r="M1651" s="5"/>
      <c r="N1651" s="5"/>
      <c r="O1651" s="5">
        <f>Данные!B31+(-0.105)</f>
        <v>3.895</v>
      </c>
      <c r="P1651" s="5">
        <f>Данные!J31</f>
        <v>8</v>
      </c>
      <c r="Q1651" s="5"/>
    </row>
    <row r="1652" spans="1:17" x14ac:dyDescent="0.25">
      <c r="A1652" s="5"/>
      <c r="B1652" s="5"/>
      <c r="C1652" s="5"/>
      <c r="D1652" s="5"/>
      <c r="E1652" s="5"/>
      <c r="F1652" s="5"/>
      <c r="G1652" s="5"/>
      <c r="H1652" s="5"/>
      <c r="I1652" s="5"/>
      <c r="J1652" s="5"/>
      <c r="K1652" s="5">
        <f>_xlfn.RANK.AVG(Данные!B32,Данные!$B$2:$B$75,1)</f>
        <v>32</v>
      </c>
      <c r="L1652" s="5">
        <f>_xlfn.RANK.AVG(Данные!J32,Данные!$J$2:$J$75,1)</f>
        <v>4.5</v>
      </c>
      <c r="M1652" s="5"/>
      <c r="N1652" s="5"/>
      <c r="O1652" s="5">
        <f>Данные!B32+(-0.105)</f>
        <v>2.895</v>
      </c>
      <c r="P1652" s="5">
        <f>Данные!J32</f>
        <v>4</v>
      </c>
      <c r="Q1652" s="5"/>
    </row>
    <row r="1653" spans="1:17" x14ac:dyDescent="0.25">
      <c r="A1653" s="5"/>
      <c r="B1653" s="5"/>
      <c r="C1653" s="5"/>
      <c r="D1653" s="5"/>
      <c r="E1653" s="5"/>
      <c r="F1653" s="5"/>
      <c r="G1653" s="5"/>
      <c r="H1653" s="5"/>
      <c r="I1653" s="5"/>
      <c r="J1653" s="5"/>
      <c r="K1653" s="5">
        <f>_xlfn.RANK.AVG(Данные!B33,Данные!$B$2:$B$75,1)</f>
        <v>32</v>
      </c>
      <c r="L1653" s="5">
        <f>_xlfn.RANK.AVG(Данные!J33,Данные!$J$2:$J$75,1)</f>
        <v>65.5</v>
      </c>
      <c r="M1653" s="5"/>
      <c r="N1653" s="5"/>
      <c r="O1653" s="5">
        <f>Данные!B33+(-0.07)</f>
        <v>2.93</v>
      </c>
      <c r="P1653" s="5">
        <f>Данные!J33</f>
        <v>9</v>
      </c>
      <c r="Q1653" s="5"/>
    </row>
    <row r="1654" spans="1:17" x14ac:dyDescent="0.25">
      <c r="A1654" s="5"/>
      <c r="B1654" s="5"/>
      <c r="C1654" s="5"/>
      <c r="D1654" s="5"/>
      <c r="E1654" s="5"/>
      <c r="F1654" s="5"/>
      <c r="G1654" s="5"/>
      <c r="H1654" s="5"/>
      <c r="I1654" s="5"/>
      <c r="J1654" s="5"/>
      <c r="K1654" s="5">
        <f>_xlfn.RANK.AVG(Данные!B34,Данные!$B$2:$B$75,1)</f>
        <v>32</v>
      </c>
      <c r="L1654" s="5">
        <f>_xlfn.RANK.AVG(Данные!J34,Данные!$J$2:$J$75,1)</f>
        <v>53</v>
      </c>
      <c r="M1654" s="5"/>
      <c r="N1654" s="5"/>
      <c r="O1654" s="5">
        <f>Данные!B34+(-0.07)</f>
        <v>2.93</v>
      </c>
      <c r="P1654" s="5">
        <f>Данные!J34</f>
        <v>8</v>
      </c>
      <c r="Q1654" s="5"/>
    </row>
    <row r="1655" spans="1:17" x14ac:dyDescent="0.25">
      <c r="A1655" s="5"/>
      <c r="B1655" s="5"/>
      <c r="C1655" s="5"/>
      <c r="D1655" s="5"/>
      <c r="E1655" s="5"/>
      <c r="F1655" s="5"/>
      <c r="G1655" s="5"/>
      <c r="H1655" s="5"/>
      <c r="I1655" s="5"/>
      <c r="J1655" s="5"/>
      <c r="K1655" s="5">
        <f>_xlfn.RANK.AVG(Данные!B35,Данные!$B$2:$B$75,1)</f>
        <v>32</v>
      </c>
      <c r="L1655" s="5">
        <f>_xlfn.RANK.AVG(Данные!J35,Данные!$J$2:$J$75,1)</f>
        <v>73.5</v>
      </c>
      <c r="M1655" s="5"/>
      <c r="N1655" s="5"/>
      <c r="O1655" s="5">
        <f>Данные!B35+(-0.105)</f>
        <v>2.895</v>
      </c>
      <c r="P1655" s="5">
        <f>Данные!J35</f>
        <v>10</v>
      </c>
      <c r="Q1655" s="5"/>
    </row>
    <row r="1656" spans="1:17" x14ac:dyDescent="0.25">
      <c r="A1656" s="5"/>
      <c r="B1656" s="5"/>
      <c r="C1656" s="5"/>
      <c r="D1656" s="5"/>
      <c r="E1656" s="5"/>
      <c r="F1656" s="5"/>
      <c r="G1656" s="5"/>
      <c r="H1656" s="5"/>
      <c r="I1656" s="5"/>
      <c r="J1656" s="5"/>
      <c r="K1656" s="5">
        <f>_xlfn.RANK.AVG(Данные!B36,Данные!$B$2:$B$75,1)</f>
        <v>56.5</v>
      </c>
      <c r="L1656" s="5">
        <f>_xlfn.RANK.AVG(Данные!J36,Данные!$J$2:$J$75,1)</f>
        <v>17.5</v>
      </c>
      <c r="M1656" s="5"/>
      <c r="N1656" s="5"/>
      <c r="O1656" s="5">
        <f>Данные!B36+(-0.105)</f>
        <v>3.895</v>
      </c>
      <c r="P1656" s="5">
        <f>Данные!J36</f>
        <v>6</v>
      </c>
      <c r="Q1656" s="5"/>
    </row>
    <row r="1657" spans="1:17" x14ac:dyDescent="0.25">
      <c r="A1657" s="5"/>
      <c r="B1657" s="5"/>
      <c r="C1657" s="5"/>
      <c r="D1657" s="5"/>
      <c r="E1657" s="5"/>
      <c r="F1657" s="5"/>
      <c r="G1657" s="5"/>
      <c r="H1657" s="5"/>
      <c r="I1657" s="5"/>
      <c r="J1657" s="5"/>
      <c r="K1657" s="5">
        <f>_xlfn.RANK.AVG(Данные!B37,Данные!$B$2:$B$75,1)</f>
        <v>32</v>
      </c>
      <c r="L1657" s="5">
        <f>_xlfn.RANK.AVG(Данные!J37,Данные!$J$2:$J$75,1)</f>
        <v>36</v>
      </c>
      <c r="M1657" s="5"/>
      <c r="N1657" s="5"/>
      <c r="O1657" s="5">
        <f>Данные!B37+(-0.07)</f>
        <v>2.93</v>
      </c>
      <c r="P1657" s="5">
        <f>Данные!J37</f>
        <v>7</v>
      </c>
      <c r="Q1657" s="5"/>
    </row>
    <row r="1658" spans="1:17" x14ac:dyDescent="0.25">
      <c r="A1658" s="5"/>
      <c r="B1658" s="5"/>
      <c r="C1658" s="5"/>
      <c r="D1658" s="5"/>
      <c r="E1658" s="5"/>
      <c r="F1658" s="5"/>
      <c r="G1658" s="5"/>
      <c r="H1658" s="5"/>
      <c r="I1658" s="5"/>
      <c r="J1658" s="5"/>
      <c r="K1658" s="5">
        <f>_xlfn.RANK.AVG(Данные!B38,Данные!$B$2:$B$75,1)</f>
        <v>32</v>
      </c>
      <c r="L1658" s="5">
        <f>_xlfn.RANK.AVG(Данные!J38,Данные!$J$2:$J$75,1)</f>
        <v>17.5</v>
      </c>
      <c r="M1658" s="5"/>
      <c r="N1658" s="5"/>
      <c r="O1658" s="5">
        <f>Данные!B38+(0.07)</f>
        <v>3.07</v>
      </c>
      <c r="P1658" s="5">
        <f>Данные!J38</f>
        <v>6</v>
      </c>
      <c r="Q1658" s="5"/>
    </row>
    <row r="1659" spans="1:17" x14ac:dyDescent="0.25">
      <c r="A1659" s="5"/>
      <c r="B1659" s="5"/>
      <c r="C1659" s="5"/>
      <c r="D1659" s="5"/>
      <c r="E1659" s="5"/>
      <c r="F1659" s="5"/>
      <c r="G1659" s="5"/>
      <c r="H1659" s="5"/>
      <c r="I1659" s="5"/>
      <c r="J1659" s="5"/>
      <c r="K1659" s="5">
        <f>_xlfn.RANK.AVG(Данные!B39,Данные!$B$2:$B$75,1)</f>
        <v>56.5</v>
      </c>
      <c r="L1659" s="5">
        <f>_xlfn.RANK.AVG(Данные!J39,Данные!$J$2:$J$75,1)</f>
        <v>65.5</v>
      </c>
      <c r="M1659" s="5"/>
      <c r="N1659" s="5"/>
      <c r="O1659" s="5">
        <f>Данные!B39+(-0.105)</f>
        <v>3.895</v>
      </c>
      <c r="P1659" s="5">
        <f>Данные!J39</f>
        <v>9</v>
      </c>
      <c r="Q1659" s="5"/>
    </row>
    <row r="1660" spans="1:17" x14ac:dyDescent="0.25">
      <c r="A1660" s="5"/>
      <c r="B1660" s="5"/>
      <c r="C1660" s="5"/>
      <c r="D1660" s="5"/>
      <c r="E1660" s="5"/>
      <c r="F1660" s="5"/>
      <c r="G1660" s="5"/>
      <c r="H1660" s="5"/>
      <c r="I1660" s="5"/>
      <c r="J1660" s="5"/>
      <c r="K1660" s="5">
        <f>_xlfn.RANK.AVG(Данные!B40,Данные!$B$2:$B$75,1)</f>
        <v>32</v>
      </c>
      <c r="L1660" s="5">
        <f>_xlfn.RANK.AVG(Данные!J40,Данные!$J$2:$J$75,1)</f>
        <v>53</v>
      </c>
      <c r="M1660" s="5"/>
      <c r="N1660" s="5"/>
      <c r="O1660" s="5">
        <f>Данные!B40+(-0.035)</f>
        <v>2.9649999999999999</v>
      </c>
      <c r="P1660" s="5">
        <f>Данные!J40</f>
        <v>8</v>
      </c>
      <c r="Q1660" s="5"/>
    </row>
    <row r="1661" spans="1:17" x14ac:dyDescent="0.25">
      <c r="A1661" s="5"/>
      <c r="B1661" s="5"/>
      <c r="C1661" s="5"/>
      <c r="D1661" s="5"/>
      <c r="E1661" s="5"/>
      <c r="F1661" s="5"/>
      <c r="G1661" s="5"/>
      <c r="H1661" s="5"/>
      <c r="I1661" s="5"/>
      <c r="J1661" s="5"/>
      <c r="K1661" s="5">
        <f>_xlfn.RANK.AVG(Данные!B41,Данные!$B$2:$B$75,1)</f>
        <v>56.5</v>
      </c>
      <c r="L1661" s="5">
        <f>_xlfn.RANK.AVG(Данные!J41,Данные!$J$2:$J$75,1)</f>
        <v>4.5</v>
      </c>
      <c r="M1661" s="5"/>
      <c r="N1661" s="5"/>
      <c r="O1661" s="5">
        <f>Данные!B41+(-0.105)</f>
        <v>3.895</v>
      </c>
      <c r="P1661" s="5">
        <f>Данные!J41</f>
        <v>4</v>
      </c>
      <c r="Q1661" s="5"/>
    </row>
    <row r="1662" spans="1:17" x14ac:dyDescent="0.25">
      <c r="A1662" s="5"/>
      <c r="B1662" s="5"/>
      <c r="C1662" s="5"/>
      <c r="D1662" s="5"/>
      <c r="E1662" s="5"/>
      <c r="F1662" s="5"/>
      <c r="G1662" s="5"/>
      <c r="H1662" s="5"/>
      <c r="I1662" s="5"/>
      <c r="J1662" s="5"/>
      <c r="K1662" s="5">
        <f>_xlfn.RANK.AVG(Данные!B42,Данные!$B$2:$B$75,1)</f>
        <v>32</v>
      </c>
      <c r="L1662" s="5">
        <f>_xlfn.RANK.AVG(Данные!J42,Данные!$J$2:$J$75,1)</f>
        <v>36</v>
      </c>
      <c r="M1662" s="5"/>
      <c r="N1662" s="5"/>
      <c r="O1662" s="5">
        <f>Данные!B42+(-0.035)</f>
        <v>2.9649999999999999</v>
      </c>
      <c r="P1662" s="5">
        <f>Данные!J42</f>
        <v>7</v>
      </c>
      <c r="Q1662" s="5"/>
    </row>
    <row r="1663" spans="1:17" x14ac:dyDescent="0.25">
      <c r="A1663" s="5"/>
      <c r="B1663" s="5"/>
      <c r="C1663" s="5"/>
      <c r="D1663" s="5"/>
      <c r="E1663" s="5"/>
      <c r="F1663" s="5"/>
      <c r="G1663" s="5"/>
      <c r="H1663" s="5"/>
      <c r="I1663" s="5"/>
      <c r="J1663" s="5"/>
      <c r="K1663" s="5">
        <f>_xlfn.RANK.AVG(Данные!B43,Данные!$B$2:$B$75,1)</f>
        <v>56.5</v>
      </c>
      <c r="L1663" s="5">
        <f>_xlfn.RANK.AVG(Данные!J43,Данные!$J$2:$J$75,1)</f>
        <v>65.5</v>
      </c>
      <c r="M1663" s="5"/>
      <c r="N1663" s="5"/>
      <c r="O1663" s="5">
        <f>Данные!B43+(-0.07)</f>
        <v>3.93</v>
      </c>
      <c r="P1663" s="5">
        <f>Данные!J43</f>
        <v>9</v>
      </c>
      <c r="Q1663" s="5"/>
    </row>
    <row r="1664" spans="1:17" x14ac:dyDescent="0.25">
      <c r="A1664" s="5"/>
      <c r="B1664" s="5"/>
      <c r="C1664" s="5"/>
      <c r="D1664" s="5"/>
      <c r="E1664" s="5"/>
      <c r="F1664" s="5"/>
      <c r="G1664" s="5"/>
      <c r="H1664" s="5"/>
      <c r="I1664" s="5"/>
      <c r="J1664" s="5"/>
      <c r="K1664" s="5">
        <f>_xlfn.RANK.AVG(Данные!B44,Данные!$B$2:$B$75,1)</f>
        <v>32</v>
      </c>
      <c r="L1664" s="5">
        <f>_xlfn.RANK.AVG(Данные!J44,Данные!$J$2:$J$75,1)</f>
        <v>9</v>
      </c>
      <c r="M1664" s="5"/>
      <c r="N1664" s="5"/>
      <c r="O1664" s="5">
        <f>Данные!B44+(-0.105)</f>
        <v>2.895</v>
      </c>
      <c r="P1664" s="5">
        <f>Данные!J44</f>
        <v>5</v>
      </c>
      <c r="Q1664" s="5"/>
    </row>
    <row r="1665" spans="1:17" x14ac:dyDescent="0.25">
      <c r="A1665" s="5"/>
      <c r="B1665" s="5"/>
      <c r="C1665" s="5"/>
      <c r="D1665" s="5"/>
      <c r="E1665" s="5"/>
      <c r="F1665" s="5"/>
      <c r="G1665" s="5"/>
      <c r="H1665" s="5"/>
      <c r="I1665" s="5"/>
      <c r="J1665" s="5"/>
      <c r="K1665" s="5">
        <f>_xlfn.RANK.AVG(Данные!B45,Данные!$B$2:$B$75,1)</f>
        <v>32</v>
      </c>
      <c r="L1665" s="5">
        <f>_xlfn.RANK.AVG(Данные!J45,Данные!$J$2:$J$75,1)</f>
        <v>36</v>
      </c>
      <c r="M1665" s="5"/>
      <c r="N1665" s="5"/>
      <c r="O1665" s="5">
        <f>Данные!B45+(0)</f>
        <v>3</v>
      </c>
      <c r="P1665" s="5">
        <f>Данные!J45</f>
        <v>7</v>
      </c>
      <c r="Q1665" s="5"/>
    </row>
    <row r="1666" spans="1:17" x14ac:dyDescent="0.25">
      <c r="A1666" s="5"/>
      <c r="B1666" s="5"/>
      <c r="C1666" s="5"/>
      <c r="D1666" s="5"/>
      <c r="E1666" s="5"/>
      <c r="F1666" s="5"/>
      <c r="G1666" s="5"/>
      <c r="H1666" s="5"/>
      <c r="I1666" s="5"/>
      <c r="J1666" s="5"/>
      <c r="K1666" s="5">
        <f>_xlfn.RANK.AVG(Данные!B46,Данные!$B$2:$B$75,1)</f>
        <v>56.5</v>
      </c>
      <c r="L1666" s="5">
        <f>_xlfn.RANK.AVG(Данные!J46,Данные!$J$2:$J$75,1)</f>
        <v>53</v>
      </c>
      <c r="M1666" s="5"/>
      <c r="N1666" s="5"/>
      <c r="O1666" s="5">
        <f>Данные!B46+(-0.07)</f>
        <v>3.93</v>
      </c>
      <c r="P1666" s="5">
        <f>Данные!J46</f>
        <v>8</v>
      </c>
      <c r="Q1666" s="5"/>
    </row>
    <row r="1667" spans="1:17" x14ac:dyDescent="0.25">
      <c r="A1667" s="5"/>
      <c r="B1667" s="5"/>
      <c r="C1667" s="5"/>
      <c r="D1667" s="5"/>
      <c r="E1667" s="5"/>
      <c r="F1667" s="5"/>
      <c r="G1667" s="5"/>
      <c r="H1667" s="5"/>
      <c r="I1667" s="5"/>
      <c r="J1667" s="5"/>
      <c r="K1667" s="5">
        <f>_xlfn.RANK.AVG(Данные!B47,Данные!$B$2:$B$75,1)</f>
        <v>32</v>
      </c>
      <c r="L1667" s="5">
        <f>_xlfn.RANK.AVG(Данные!J47,Данные!$J$2:$J$75,1)</f>
        <v>9</v>
      </c>
      <c r="M1667" s="5"/>
      <c r="N1667" s="5"/>
      <c r="O1667" s="5">
        <f>Данные!B47+(-0.07)</f>
        <v>2.93</v>
      </c>
      <c r="P1667" s="5">
        <f>Данные!J47</f>
        <v>5</v>
      </c>
      <c r="Q1667" s="5"/>
    </row>
    <row r="1668" spans="1:17" x14ac:dyDescent="0.25">
      <c r="A1668" s="5"/>
      <c r="B1668" s="5"/>
      <c r="C1668" s="5"/>
      <c r="D1668" s="5"/>
      <c r="E1668" s="5"/>
      <c r="F1668" s="5"/>
      <c r="G1668" s="5"/>
      <c r="H1668" s="5"/>
      <c r="I1668" s="5"/>
      <c r="J1668" s="5"/>
      <c r="K1668" s="5">
        <f>_xlfn.RANK.AVG(Данные!B48,Данные!$B$2:$B$75,1)</f>
        <v>56.5</v>
      </c>
      <c r="L1668" s="5">
        <f>_xlfn.RANK.AVG(Данные!J48,Данные!$J$2:$J$75,1)</f>
        <v>36</v>
      </c>
      <c r="M1668" s="5"/>
      <c r="N1668" s="5"/>
      <c r="O1668" s="5">
        <f>Данные!B48+(-0.07)</f>
        <v>3.93</v>
      </c>
      <c r="P1668" s="5">
        <f>Данные!J48</f>
        <v>7</v>
      </c>
      <c r="Q1668" s="5"/>
    </row>
    <row r="1669" spans="1:17" x14ac:dyDescent="0.25">
      <c r="A1669" s="5"/>
      <c r="B1669" s="5"/>
      <c r="C1669" s="5"/>
      <c r="D1669" s="5"/>
      <c r="E1669" s="5"/>
      <c r="F1669" s="5"/>
      <c r="G1669" s="5"/>
      <c r="H1669" s="5"/>
      <c r="I1669" s="5"/>
      <c r="J1669" s="5"/>
      <c r="K1669" s="5">
        <f>_xlfn.RANK.AVG(Данные!B49,Данные!$B$2:$B$75,1)</f>
        <v>32</v>
      </c>
      <c r="L1669" s="5">
        <f>_xlfn.RANK.AVG(Данные!J49,Данные!$J$2:$J$75,1)</f>
        <v>17.5</v>
      </c>
      <c r="M1669" s="5"/>
      <c r="N1669" s="5"/>
      <c r="O1669" s="5">
        <f>Данные!B49+(0.105)</f>
        <v>3.105</v>
      </c>
      <c r="P1669" s="5">
        <f>Данные!J49</f>
        <v>6</v>
      </c>
      <c r="Q1669" s="5"/>
    </row>
    <row r="1670" spans="1:17" x14ac:dyDescent="0.25">
      <c r="A1670" s="5"/>
      <c r="B1670" s="5"/>
      <c r="C1670" s="5"/>
      <c r="D1670" s="5"/>
      <c r="E1670" s="5"/>
      <c r="F1670" s="5"/>
      <c r="G1670" s="5"/>
      <c r="H1670" s="5"/>
      <c r="I1670" s="5"/>
      <c r="J1670" s="5"/>
      <c r="K1670" s="5">
        <f>_xlfn.RANK.AVG(Данные!B50,Данные!$B$2:$B$75,1)</f>
        <v>32</v>
      </c>
      <c r="L1670" s="5">
        <f>_xlfn.RANK.AVG(Данные!J50,Данные!$J$2:$J$75,1)</f>
        <v>4.5</v>
      </c>
      <c r="M1670" s="5"/>
      <c r="N1670" s="5"/>
      <c r="O1670" s="5">
        <f>Данные!B50+(-0.07)</f>
        <v>2.93</v>
      </c>
      <c r="P1670" s="5">
        <f>Данные!J50</f>
        <v>4</v>
      </c>
      <c r="Q1670" s="5"/>
    </row>
    <row r="1671" spans="1:17" x14ac:dyDescent="0.25">
      <c r="A1671" s="5"/>
      <c r="B1671" s="5"/>
      <c r="C1671" s="5"/>
      <c r="D1671" s="5"/>
      <c r="E1671" s="5"/>
      <c r="F1671" s="5"/>
      <c r="G1671" s="5"/>
      <c r="H1671" s="5"/>
      <c r="I1671" s="5"/>
      <c r="J1671" s="5"/>
      <c r="K1671" s="5">
        <f>_xlfn.RANK.AVG(Данные!B51,Данные!$B$2:$B$75,1)</f>
        <v>32</v>
      </c>
      <c r="L1671" s="5">
        <f>_xlfn.RANK.AVG(Данные!J51,Данные!$J$2:$J$75,1)</f>
        <v>36</v>
      </c>
      <c r="M1671" s="5"/>
      <c r="N1671" s="5"/>
      <c r="O1671" s="5">
        <f>Данные!B51+(0.035)</f>
        <v>3.0350000000000001</v>
      </c>
      <c r="P1671" s="5">
        <f>Данные!J51</f>
        <v>7</v>
      </c>
      <c r="Q1671" s="5"/>
    </row>
    <row r="1672" spans="1:17" x14ac:dyDescent="0.25">
      <c r="A1672" s="5"/>
      <c r="B1672" s="5"/>
      <c r="C1672" s="5"/>
      <c r="D1672" s="5"/>
      <c r="E1672" s="5"/>
      <c r="F1672" s="5"/>
      <c r="G1672" s="5"/>
      <c r="H1672" s="5"/>
      <c r="I1672" s="5"/>
      <c r="J1672" s="5"/>
      <c r="K1672" s="5">
        <f>_xlfn.RANK.AVG(Данные!B52,Данные!$B$2:$B$75,1)</f>
        <v>32</v>
      </c>
      <c r="L1672" s="5">
        <f>_xlfn.RANK.AVG(Данные!J52,Данные!$J$2:$J$75,1)</f>
        <v>65.5</v>
      </c>
      <c r="M1672" s="5"/>
      <c r="N1672" s="5"/>
      <c r="O1672" s="5">
        <f>Данные!B52+(-0.035)</f>
        <v>2.9649999999999999</v>
      </c>
      <c r="P1672" s="5">
        <f>Данные!J52</f>
        <v>9</v>
      </c>
      <c r="Q1672" s="5"/>
    </row>
    <row r="1673" spans="1:17" x14ac:dyDescent="0.25">
      <c r="A1673" s="5"/>
      <c r="B1673" s="5"/>
      <c r="C1673" s="5"/>
      <c r="D1673" s="5"/>
      <c r="E1673" s="5"/>
      <c r="F1673" s="5"/>
      <c r="G1673" s="5"/>
      <c r="H1673" s="5"/>
      <c r="I1673" s="5"/>
      <c r="J1673" s="5"/>
      <c r="K1673" s="5">
        <f>_xlfn.RANK.AVG(Данные!B53,Данные!$B$2:$B$75,1)</f>
        <v>56.5</v>
      </c>
      <c r="L1673" s="5">
        <f>_xlfn.RANK.AVG(Данные!J53,Данные!$J$2:$J$75,1)</f>
        <v>36</v>
      </c>
      <c r="M1673" s="5"/>
      <c r="N1673" s="5"/>
      <c r="O1673" s="5">
        <f>Данные!B53+(-0.035)</f>
        <v>3.9649999999999999</v>
      </c>
      <c r="P1673" s="5">
        <f>Данные!J53</f>
        <v>7</v>
      </c>
      <c r="Q1673" s="5"/>
    </row>
    <row r="1674" spans="1:17" x14ac:dyDescent="0.25">
      <c r="A1674" s="5"/>
      <c r="B1674" s="5"/>
      <c r="C1674" s="5"/>
      <c r="D1674" s="5"/>
      <c r="E1674" s="5"/>
      <c r="F1674" s="5"/>
      <c r="G1674" s="5"/>
      <c r="H1674" s="5"/>
      <c r="I1674" s="5"/>
      <c r="J1674" s="5"/>
      <c r="K1674" s="5">
        <f>_xlfn.RANK.AVG(Данные!B54,Данные!$B$2:$B$75,1)</f>
        <v>32</v>
      </c>
      <c r="L1674" s="5">
        <f>_xlfn.RANK.AVG(Данные!J54,Данные!$J$2:$J$75,1)</f>
        <v>17.5</v>
      </c>
      <c r="M1674" s="5"/>
      <c r="N1674" s="5"/>
      <c r="O1674" s="5">
        <f>Данные!B54+(-0.105)</f>
        <v>2.895</v>
      </c>
      <c r="P1674" s="5">
        <f>Данные!J54</f>
        <v>6</v>
      </c>
      <c r="Q1674" s="5"/>
    </row>
    <row r="1675" spans="1:17" x14ac:dyDescent="0.25">
      <c r="A1675" s="5"/>
      <c r="B1675" s="5"/>
      <c r="C1675" s="5"/>
      <c r="D1675" s="5"/>
      <c r="E1675" s="5"/>
      <c r="F1675" s="5"/>
      <c r="G1675" s="5"/>
      <c r="H1675" s="5"/>
      <c r="I1675" s="5"/>
      <c r="J1675" s="5"/>
      <c r="K1675" s="5">
        <f>_xlfn.RANK.AVG(Данные!B55,Данные!$B$2:$B$75,1)</f>
        <v>56.5</v>
      </c>
      <c r="L1675" s="5">
        <f>_xlfn.RANK.AVG(Данные!J55,Данные!$J$2:$J$75,1)</f>
        <v>36</v>
      </c>
      <c r="M1675" s="5"/>
      <c r="N1675" s="5"/>
      <c r="O1675" s="5">
        <f>Данные!B55+(0)</f>
        <v>4</v>
      </c>
      <c r="P1675" s="5">
        <f>Данные!J55</f>
        <v>7</v>
      </c>
      <c r="Q1675" s="5"/>
    </row>
    <row r="1676" spans="1:17" x14ac:dyDescent="0.25">
      <c r="A1676" s="5"/>
      <c r="B1676" s="5"/>
      <c r="C1676" s="5"/>
      <c r="D1676" s="5"/>
      <c r="E1676" s="5"/>
      <c r="F1676" s="5"/>
      <c r="G1676" s="5"/>
      <c r="H1676" s="5"/>
      <c r="I1676" s="5"/>
      <c r="J1676" s="5"/>
      <c r="K1676" s="5">
        <f>_xlfn.RANK.AVG(Данные!B56,Данные!$B$2:$B$75,1)</f>
        <v>56.5</v>
      </c>
      <c r="L1676" s="5">
        <f>_xlfn.RANK.AVG(Данные!J56,Данные!$J$2:$J$75,1)</f>
        <v>36</v>
      </c>
      <c r="M1676" s="5"/>
      <c r="N1676" s="5"/>
      <c r="O1676" s="5">
        <f>Данные!B56+(0.035)</f>
        <v>4.0350000000000001</v>
      </c>
      <c r="P1676" s="5">
        <f>Данные!J56</f>
        <v>7</v>
      </c>
      <c r="Q1676" s="5"/>
    </row>
    <row r="1677" spans="1:17" x14ac:dyDescent="0.25">
      <c r="A1677" s="5"/>
      <c r="B1677" s="5"/>
      <c r="C1677" s="5"/>
      <c r="D1677" s="5"/>
      <c r="E1677" s="5"/>
      <c r="F1677" s="5"/>
      <c r="G1677" s="5"/>
      <c r="H1677" s="5"/>
      <c r="I1677" s="5"/>
      <c r="J1677" s="5"/>
      <c r="K1677" s="5">
        <f>_xlfn.RANK.AVG(Данные!B57,Данные!$B$2:$B$75,1)</f>
        <v>56.5</v>
      </c>
      <c r="L1677" s="5">
        <f>_xlfn.RANK.AVG(Данные!J57,Данные!$J$2:$J$75,1)</f>
        <v>17.5</v>
      </c>
      <c r="M1677" s="5"/>
      <c r="N1677" s="5"/>
      <c r="O1677" s="5">
        <f>Данные!B57+(-0.07)</f>
        <v>3.93</v>
      </c>
      <c r="P1677" s="5">
        <f>Данные!J57</f>
        <v>6</v>
      </c>
      <c r="Q1677" s="5"/>
    </row>
    <row r="1678" spans="1:17" x14ac:dyDescent="0.25">
      <c r="A1678" s="5"/>
      <c r="B1678" s="5"/>
      <c r="C1678" s="5"/>
      <c r="D1678" s="5"/>
      <c r="E1678" s="5"/>
      <c r="F1678" s="5"/>
      <c r="G1678" s="5"/>
      <c r="H1678" s="5"/>
      <c r="I1678" s="5"/>
      <c r="J1678" s="5"/>
      <c r="K1678" s="5">
        <f>_xlfn.RANK.AVG(Данные!B58,Данные!$B$2:$B$75,1)</f>
        <v>56.5</v>
      </c>
      <c r="L1678" s="5">
        <f>_xlfn.RANK.AVG(Данные!J58,Данные!$J$2:$J$75,1)</f>
        <v>65.5</v>
      </c>
      <c r="M1678" s="5"/>
      <c r="N1678" s="5"/>
      <c r="O1678" s="5">
        <f>Данные!B58+(-0.035)</f>
        <v>3.9649999999999999</v>
      </c>
      <c r="P1678" s="5">
        <f>Данные!J58</f>
        <v>9</v>
      </c>
      <c r="Q1678" s="5"/>
    </row>
    <row r="1679" spans="1:17" x14ac:dyDescent="0.25">
      <c r="A1679" s="5"/>
      <c r="B1679" s="5"/>
      <c r="C1679" s="5"/>
      <c r="D1679" s="5"/>
      <c r="E1679" s="5"/>
      <c r="F1679" s="5"/>
      <c r="G1679" s="5"/>
      <c r="H1679" s="5"/>
      <c r="I1679" s="5"/>
      <c r="J1679" s="5"/>
      <c r="K1679" s="5">
        <f>_xlfn.RANK.AVG(Данные!B59,Данные!$B$2:$B$75,1)</f>
        <v>56.5</v>
      </c>
      <c r="L1679" s="5">
        <f>_xlfn.RANK.AVG(Данные!J59,Данные!$J$2:$J$75,1)</f>
        <v>65.5</v>
      </c>
      <c r="M1679" s="5"/>
      <c r="N1679" s="5"/>
      <c r="O1679" s="5">
        <f>Данные!B59+(0)</f>
        <v>4</v>
      </c>
      <c r="P1679" s="5">
        <f>Данные!J59</f>
        <v>9</v>
      </c>
      <c r="Q1679" s="5"/>
    </row>
    <row r="1680" spans="1:17" x14ac:dyDescent="0.25">
      <c r="A1680" s="5"/>
      <c r="B1680" s="5"/>
      <c r="C1680" s="5"/>
      <c r="D1680" s="5"/>
      <c r="E1680" s="5"/>
      <c r="F1680" s="5"/>
      <c r="G1680" s="5"/>
      <c r="H1680" s="5"/>
      <c r="I1680" s="5"/>
      <c r="J1680" s="5"/>
      <c r="K1680" s="5">
        <f>_xlfn.RANK.AVG(Данные!B60,Данные!$B$2:$B$75,1)</f>
        <v>56.5</v>
      </c>
      <c r="L1680" s="5">
        <f>_xlfn.RANK.AVG(Данные!J60,Данные!$J$2:$J$75,1)</f>
        <v>36</v>
      </c>
      <c r="M1680" s="5"/>
      <c r="N1680" s="5"/>
      <c r="O1680" s="5">
        <f>Данные!B60+(0.07)</f>
        <v>4.07</v>
      </c>
      <c r="P1680" s="5">
        <f>Данные!J60</f>
        <v>7</v>
      </c>
      <c r="Q1680" s="5"/>
    </row>
    <row r="1681" spans="1:17" x14ac:dyDescent="0.25">
      <c r="A1681" s="5"/>
      <c r="B1681" s="5"/>
      <c r="C1681" s="5"/>
      <c r="D1681" s="5"/>
      <c r="E1681" s="5"/>
      <c r="F1681" s="5"/>
      <c r="G1681" s="5"/>
      <c r="H1681" s="5"/>
      <c r="I1681" s="5"/>
      <c r="J1681" s="5"/>
      <c r="K1681" s="5">
        <f>_xlfn.RANK.AVG(Данные!B61,Данные!$B$2:$B$75,1)</f>
        <v>71.5</v>
      </c>
      <c r="L1681" s="5">
        <f>_xlfn.RANK.AVG(Данные!J61,Данные!$J$2:$J$75,1)</f>
        <v>36</v>
      </c>
      <c r="M1681" s="5"/>
      <c r="N1681" s="5"/>
      <c r="O1681" s="5">
        <f>Данные!B61+(-0.105)</f>
        <v>4.8949999999999996</v>
      </c>
      <c r="P1681" s="5">
        <f>Данные!J61</f>
        <v>7</v>
      </c>
      <c r="Q1681" s="5"/>
    </row>
    <row r="1682" spans="1:17" x14ac:dyDescent="0.25">
      <c r="A1682" s="5"/>
      <c r="B1682" s="5"/>
      <c r="C1682" s="5"/>
      <c r="D1682" s="5"/>
      <c r="E1682" s="5"/>
      <c r="F1682" s="5"/>
      <c r="G1682" s="5"/>
      <c r="H1682" s="5"/>
      <c r="I1682" s="5"/>
      <c r="J1682" s="5"/>
      <c r="K1682" s="5">
        <f>_xlfn.RANK.AVG(Данные!B62,Данные!$B$2:$B$75,1)</f>
        <v>56.5</v>
      </c>
      <c r="L1682" s="5">
        <f>_xlfn.RANK.AVG(Данные!J62,Данные!$J$2:$J$75,1)</f>
        <v>65.5</v>
      </c>
      <c r="M1682" s="5"/>
      <c r="N1682" s="5"/>
      <c r="O1682" s="5">
        <f>Данные!B62+(0.035)</f>
        <v>4.0350000000000001</v>
      </c>
      <c r="P1682" s="5">
        <f>Данные!J62</f>
        <v>9</v>
      </c>
      <c r="Q1682" s="5"/>
    </row>
    <row r="1683" spans="1:17" x14ac:dyDescent="0.25">
      <c r="A1683" s="5"/>
      <c r="B1683" s="5"/>
      <c r="C1683" s="5"/>
      <c r="D1683" s="5"/>
      <c r="E1683" s="5"/>
      <c r="F1683" s="5"/>
      <c r="G1683" s="5"/>
      <c r="H1683" s="5"/>
      <c r="I1683" s="5"/>
      <c r="J1683" s="5"/>
      <c r="K1683" s="5">
        <f>_xlfn.RANK.AVG(Данные!B63,Данные!$B$2:$B$75,1)</f>
        <v>56.5</v>
      </c>
      <c r="L1683" s="5">
        <f>_xlfn.RANK.AVG(Данные!J63,Данные!$J$2:$J$75,1)</f>
        <v>36</v>
      </c>
      <c r="M1683" s="5"/>
      <c r="N1683" s="5"/>
      <c r="O1683" s="5">
        <f>Данные!B63+(0.105)</f>
        <v>4.1050000000000004</v>
      </c>
      <c r="P1683" s="5">
        <f>Данные!J63</f>
        <v>7</v>
      </c>
      <c r="Q1683" s="5"/>
    </row>
    <row r="1684" spans="1:17" x14ac:dyDescent="0.25">
      <c r="A1684" s="5"/>
      <c r="B1684" s="5"/>
      <c r="C1684" s="5"/>
      <c r="D1684" s="5"/>
      <c r="E1684" s="5"/>
      <c r="F1684" s="5"/>
      <c r="G1684" s="5"/>
      <c r="H1684" s="5"/>
      <c r="I1684" s="5"/>
      <c r="J1684" s="5"/>
      <c r="K1684" s="5">
        <f>_xlfn.RANK.AVG(Данные!B64,Данные!$B$2:$B$75,1)</f>
        <v>56.5</v>
      </c>
      <c r="L1684" s="5">
        <f>_xlfn.RANK.AVG(Данные!J64,Данные!$J$2:$J$75,1)</f>
        <v>36</v>
      </c>
      <c r="M1684" s="5"/>
      <c r="N1684" s="5"/>
      <c r="O1684" s="5">
        <f>Данные!B64+(-0.105)</f>
        <v>3.895</v>
      </c>
      <c r="P1684" s="5">
        <f>Данные!J64</f>
        <v>7</v>
      </c>
      <c r="Q1684" s="5"/>
    </row>
    <row r="1685" spans="1:17" x14ac:dyDescent="0.25">
      <c r="A1685" s="5"/>
      <c r="B1685" s="5"/>
      <c r="C1685" s="5"/>
      <c r="D1685" s="5"/>
      <c r="E1685" s="5"/>
      <c r="F1685" s="5"/>
      <c r="G1685" s="5"/>
      <c r="H1685" s="5"/>
      <c r="I1685" s="5"/>
      <c r="J1685" s="5"/>
      <c r="K1685" s="5">
        <f>_xlfn.RANK.AVG(Данные!B65,Данные!$B$2:$B$75,1)</f>
        <v>56.5</v>
      </c>
      <c r="L1685" s="5">
        <f>_xlfn.RANK.AVG(Данные!J65,Данные!$J$2:$J$75,1)</f>
        <v>73.5</v>
      </c>
      <c r="M1685" s="5"/>
      <c r="N1685" s="5"/>
      <c r="O1685" s="5">
        <f>Данные!B65+(-0.105)</f>
        <v>3.895</v>
      </c>
      <c r="P1685" s="5">
        <f>Данные!J65</f>
        <v>10</v>
      </c>
      <c r="Q1685" s="5"/>
    </row>
    <row r="1686" spans="1:17" x14ac:dyDescent="0.25">
      <c r="A1686" s="5"/>
      <c r="B1686" s="5"/>
      <c r="C1686" s="5"/>
      <c r="D1686" s="5"/>
      <c r="E1686" s="5"/>
      <c r="F1686" s="5"/>
      <c r="G1686" s="5"/>
      <c r="H1686" s="5"/>
      <c r="I1686" s="5"/>
      <c r="J1686" s="5"/>
      <c r="K1686" s="5">
        <f>_xlfn.RANK.AVG(Данные!B66,Данные!$B$2:$B$75,1)</f>
        <v>56.5</v>
      </c>
      <c r="L1686" s="5">
        <f>_xlfn.RANK.AVG(Данные!J66,Данные!$J$2:$J$75,1)</f>
        <v>65.5</v>
      </c>
      <c r="M1686" s="5"/>
      <c r="N1686" s="5"/>
      <c r="O1686" s="5">
        <f>Данные!B66+(0.07)</f>
        <v>4.07</v>
      </c>
      <c r="P1686" s="5">
        <f>Данные!J66</f>
        <v>9</v>
      </c>
      <c r="Q1686" s="5"/>
    </row>
    <row r="1687" spans="1:17" x14ac:dyDescent="0.25">
      <c r="A1687" s="5"/>
      <c r="B1687" s="5"/>
      <c r="C1687" s="5"/>
      <c r="D1687" s="5"/>
      <c r="E1687" s="5"/>
      <c r="F1687" s="5"/>
      <c r="G1687" s="5"/>
      <c r="H1687" s="5"/>
      <c r="I1687" s="5"/>
      <c r="J1687" s="5"/>
      <c r="K1687" s="5">
        <f>_xlfn.RANK.AVG(Данные!B67,Данные!$B$2:$B$75,1)</f>
        <v>71.5</v>
      </c>
      <c r="L1687" s="5">
        <f>_xlfn.RANK.AVG(Данные!J67,Данные!$J$2:$J$75,1)</f>
        <v>17.5</v>
      </c>
      <c r="M1687" s="5"/>
      <c r="N1687" s="5"/>
      <c r="O1687" s="5">
        <f>Данные!B67+(-0.105)</f>
        <v>4.8949999999999996</v>
      </c>
      <c r="P1687" s="5">
        <f>Данные!J67</f>
        <v>6</v>
      </c>
      <c r="Q1687" s="5"/>
    </row>
    <row r="1688" spans="1:17" x14ac:dyDescent="0.25">
      <c r="A1688" s="5"/>
      <c r="B1688" s="5"/>
      <c r="C1688" s="5"/>
      <c r="D1688" s="5"/>
      <c r="E1688" s="5"/>
      <c r="F1688" s="5"/>
      <c r="G1688" s="5"/>
      <c r="H1688" s="5"/>
      <c r="I1688" s="5"/>
      <c r="J1688" s="5"/>
      <c r="K1688" s="5">
        <f>_xlfn.RANK.AVG(Данные!B68,Данные!$B$2:$B$75,1)</f>
        <v>71.5</v>
      </c>
      <c r="L1688" s="5">
        <f>_xlfn.RANK.AVG(Данные!J68,Данные!$J$2:$J$75,1)</f>
        <v>9</v>
      </c>
      <c r="M1688" s="5"/>
      <c r="N1688" s="5"/>
      <c r="O1688" s="5">
        <f>Данные!B68+(-0.105)</f>
        <v>4.8949999999999996</v>
      </c>
      <c r="P1688" s="5">
        <f>Данные!J68</f>
        <v>5</v>
      </c>
      <c r="Q1688" s="5"/>
    </row>
    <row r="1689" spans="1:17" x14ac:dyDescent="0.25">
      <c r="A1689" s="5"/>
      <c r="B1689" s="5"/>
      <c r="C1689" s="5"/>
      <c r="D1689" s="5"/>
      <c r="E1689" s="5"/>
      <c r="F1689" s="5"/>
      <c r="G1689" s="5"/>
      <c r="H1689" s="5"/>
      <c r="I1689" s="5"/>
      <c r="J1689" s="5"/>
      <c r="K1689" s="5">
        <f>_xlfn.RANK.AVG(Данные!B69,Данные!$B$2:$B$75,1)</f>
        <v>56.5</v>
      </c>
      <c r="L1689" s="5">
        <f>_xlfn.RANK.AVG(Данные!J69,Данные!$J$2:$J$75,1)</f>
        <v>36</v>
      </c>
      <c r="M1689" s="5"/>
      <c r="N1689" s="5"/>
      <c r="O1689" s="5">
        <f>Данные!B69+(-0.07)</f>
        <v>3.93</v>
      </c>
      <c r="P1689" s="5">
        <f>Данные!J69</f>
        <v>7</v>
      </c>
      <c r="Q1689" s="5"/>
    </row>
    <row r="1690" spans="1:17" x14ac:dyDescent="0.25">
      <c r="A1690" s="5"/>
      <c r="B1690" s="5"/>
      <c r="C1690" s="5"/>
      <c r="D1690" s="5"/>
      <c r="E1690" s="5"/>
      <c r="F1690" s="5"/>
      <c r="G1690" s="5"/>
      <c r="H1690" s="5"/>
      <c r="I1690" s="5"/>
      <c r="J1690" s="5"/>
      <c r="K1690" s="5">
        <f>_xlfn.RANK.AVG(Данные!B70,Данные!$B$2:$B$75,1)</f>
        <v>56.5</v>
      </c>
      <c r="L1690" s="5">
        <f>_xlfn.RANK.AVG(Данные!J70,Данные!$J$2:$J$75,1)</f>
        <v>53</v>
      </c>
      <c r="M1690" s="5"/>
      <c r="N1690" s="5"/>
      <c r="O1690" s="5">
        <f>Данные!B70+(-0.035)</f>
        <v>3.9649999999999999</v>
      </c>
      <c r="P1690" s="5">
        <f>Данные!J70</f>
        <v>8</v>
      </c>
      <c r="Q1690" s="5"/>
    </row>
    <row r="1691" spans="1:17" x14ac:dyDescent="0.25">
      <c r="A1691" s="5"/>
      <c r="B1691" s="5"/>
      <c r="C1691" s="5"/>
      <c r="D1691" s="5"/>
      <c r="E1691" s="5"/>
      <c r="F1691" s="5"/>
      <c r="G1691" s="5"/>
      <c r="H1691" s="5"/>
      <c r="I1691" s="5"/>
      <c r="J1691" s="5"/>
      <c r="K1691" s="5">
        <f>_xlfn.RANK.AVG(Данные!B71,Данные!$B$2:$B$75,1)</f>
        <v>71.5</v>
      </c>
      <c r="L1691" s="5">
        <f>_xlfn.RANK.AVG(Данные!J71,Данные!$J$2:$J$75,1)</f>
        <v>17.5</v>
      </c>
      <c r="M1691" s="5"/>
      <c r="N1691" s="5"/>
      <c r="O1691" s="5">
        <f>Данные!B71+(-0.07)</f>
        <v>4.93</v>
      </c>
      <c r="P1691" s="5">
        <f>Данные!J71</f>
        <v>6</v>
      </c>
      <c r="Q1691" s="5"/>
    </row>
    <row r="1692" spans="1:17" x14ac:dyDescent="0.25">
      <c r="A1692" s="5"/>
      <c r="B1692" s="5"/>
      <c r="C1692" s="5"/>
      <c r="D1692" s="5"/>
      <c r="E1692" s="5"/>
      <c r="F1692" s="5"/>
      <c r="G1692" s="5"/>
      <c r="H1692" s="5"/>
      <c r="I1692" s="5"/>
      <c r="J1692" s="5"/>
      <c r="K1692" s="5">
        <f>_xlfn.RANK.AVG(Данные!B72,Данные!$B$2:$B$75,1)</f>
        <v>71.5</v>
      </c>
      <c r="L1692" s="5">
        <f>_xlfn.RANK.AVG(Данные!J72,Данные!$J$2:$J$75,1)</f>
        <v>65.5</v>
      </c>
      <c r="M1692" s="5"/>
      <c r="N1692" s="5"/>
      <c r="O1692" s="5">
        <f>Данные!B72+(-0.105)</f>
        <v>4.8949999999999996</v>
      </c>
      <c r="P1692" s="5">
        <f>Данные!J72</f>
        <v>9</v>
      </c>
      <c r="Q1692" s="5"/>
    </row>
    <row r="1693" spans="1:17" x14ac:dyDescent="0.25">
      <c r="A1693" s="5"/>
      <c r="B1693" s="5"/>
      <c r="C1693" s="5"/>
      <c r="D1693" s="5"/>
      <c r="E1693" s="5"/>
      <c r="F1693" s="5"/>
      <c r="G1693" s="5"/>
      <c r="H1693" s="5"/>
      <c r="I1693" s="5"/>
      <c r="J1693" s="5"/>
      <c r="K1693" s="5">
        <f>_xlfn.RANK.AVG(Данные!B73,Данные!$B$2:$B$75,1)</f>
        <v>71.5</v>
      </c>
      <c r="L1693" s="5">
        <f>_xlfn.RANK.AVG(Данные!J73,Данные!$J$2:$J$75,1)</f>
        <v>36</v>
      </c>
      <c r="M1693" s="5"/>
      <c r="N1693" s="5"/>
      <c r="O1693" s="5">
        <f>Данные!B73+(-0.07)</f>
        <v>4.93</v>
      </c>
      <c r="P1693" s="5">
        <f>Данные!J73</f>
        <v>7</v>
      </c>
      <c r="Q1693" s="5"/>
    </row>
    <row r="1694" spans="1:17" x14ac:dyDescent="0.25">
      <c r="A1694" s="5"/>
      <c r="B1694" s="5"/>
      <c r="C1694" s="5"/>
      <c r="D1694" s="5"/>
      <c r="E1694" s="5"/>
      <c r="F1694" s="5"/>
      <c r="G1694" s="5"/>
      <c r="H1694" s="5"/>
      <c r="I1694" s="5"/>
      <c r="J1694" s="5"/>
      <c r="K1694" s="5">
        <f>_xlfn.RANK.AVG(Данные!B74,Данные!$B$2:$B$75,1)</f>
        <v>56.5</v>
      </c>
      <c r="L1694" s="5">
        <f>_xlfn.RANK.AVG(Данные!J74,Данные!$J$2:$J$75,1)</f>
        <v>65.5</v>
      </c>
      <c r="M1694" s="5"/>
      <c r="N1694" s="5"/>
      <c r="O1694" s="5">
        <f>Данные!B74+(0.105)</f>
        <v>4.1050000000000004</v>
      </c>
      <c r="P1694" s="5">
        <f>Данные!J74</f>
        <v>9</v>
      </c>
      <c r="Q1694" s="5"/>
    </row>
    <row r="1695" spans="1:17" x14ac:dyDescent="0.25">
      <c r="A1695" s="5"/>
      <c r="B1695" s="5"/>
      <c r="C1695" s="5"/>
      <c r="D1695" s="5"/>
      <c r="E1695" s="5"/>
      <c r="F1695" s="5"/>
      <c r="G1695" s="5"/>
      <c r="H1695" s="5"/>
      <c r="I1695" s="5"/>
      <c r="J1695" s="5"/>
      <c r="K1695" s="5">
        <f>_xlfn.RANK.AVG(Данные!B75,Данные!$B$2:$B$75,1)</f>
        <v>56.5</v>
      </c>
      <c r="L1695" s="5">
        <f>_xlfn.RANK.AVG(Данные!J75,Данные!$J$2:$J$75,1)</f>
        <v>17.5</v>
      </c>
      <c r="M1695" s="5"/>
      <c r="N1695" s="5"/>
      <c r="O1695" s="5">
        <f>Данные!B75+(-0.035)</f>
        <v>3.9649999999999999</v>
      </c>
      <c r="P1695" s="5">
        <f>Данные!J75</f>
        <v>6</v>
      </c>
      <c r="Q1695" s="5"/>
    </row>
    <row r="1696" spans="1:17" x14ac:dyDescent="0.25">
      <c r="A1696" s="5"/>
      <c r="B1696" s="5"/>
      <c r="C1696" s="5"/>
      <c r="D1696" s="5"/>
      <c r="E1696" s="5"/>
      <c r="F1696" s="5"/>
      <c r="G1696" s="5"/>
      <c r="H1696" s="5"/>
      <c r="I1696" s="5"/>
      <c r="J1696" s="5"/>
      <c r="K1696" s="5"/>
      <c r="L1696" s="5"/>
      <c r="M1696" s="5"/>
      <c r="N1696" s="5"/>
      <c r="O1696" s="5"/>
      <c r="P1696" s="5"/>
      <c r="Q1696" s="5"/>
    </row>
    <row r="1697" spans="1:17" x14ac:dyDescent="0.25">
      <c r="A1697" s="5"/>
      <c r="B1697" s="5"/>
      <c r="C1697" s="5"/>
      <c r="D1697" s="5"/>
      <c r="E1697" s="5"/>
      <c r="F1697" s="5"/>
      <c r="G1697" s="5"/>
      <c r="H1697" s="5"/>
      <c r="I1697" s="5"/>
      <c r="J1697" s="5"/>
      <c r="K1697" s="5"/>
      <c r="L1697" s="5"/>
      <c r="M1697" s="5"/>
      <c r="N1697" s="5"/>
      <c r="O1697" s="5"/>
      <c r="P1697" s="5"/>
      <c r="Q1697" s="5"/>
    </row>
    <row r="1698" spans="1:17" x14ac:dyDescent="0.25">
      <c r="A1698" s="5"/>
      <c r="B1698" s="5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  <c r="O1698" s="5"/>
      <c r="P1698" s="5"/>
      <c r="Q1698" s="5"/>
    </row>
    <row r="1699" spans="1:17" x14ac:dyDescent="0.25">
      <c r="A1699" s="5"/>
      <c r="B1699" s="5"/>
      <c r="C1699" s="5"/>
      <c r="D1699" s="5"/>
      <c r="E1699" s="5"/>
      <c r="F1699" s="5"/>
      <c r="G1699" s="5"/>
      <c r="H1699" s="5"/>
      <c r="I1699" s="5"/>
      <c r="J1699" s="5"/>
      <c r="K1699" s="5"/>
      <c r="L1699" s="5"/>
      <c r="M1699" s="5"/>
      <c r="N1699" s="5"/>
      <c r="O1699" s="5"/>
      <c r="P1699" s="5"/>
      <c r="Q1699" s="5"/>
    </row>
    <row r="1700" spans="1:17" x14ac:dyDescent="0.25">
      <c r="A1700" s="5"/>
      <c r="B1700" s="5"/>
      <c r="C1700" s="5"/>
      <c r="D1700" s="5" t="s">
        <v>51</v>
      </c>
      <c r="E1700" s="5">
        <v>1</v>
      </c>
      <c r="F1700" s="5">
        <v>2</v>
      </c>
      <c r="G1700" s="5">
        <v>3</v>
      </c>
      <c r="H1700" s="5">
        <v>4</v>
      </c>
      <c r="I1700" s="5">
        <v>5</v>
      </c>
      <c r="J1700" s="5"/>
      <c r="K1700" s="5"/>
      <c r="L1700" s="5"/>
      <c r="M1700" s="5"/>
      <c r="N1700" s="5"/>
      <c r="O1700" s="5"/>
      <c r="P1700" s="5"/>
      <c r="Q1700" s="5"/>
    </row>
    <row r="1701" spans="1:17" x14ac:dyDescent="0.25">
      <c r="A1701" s="5"/>
      <c r="B1701" s="5"/>
      <c r="C1701" s="5"/>
      <c r="D1701" s="5" t="s">
        <v>58</v>
      </c>
      <c r="E1701" s="5">
        <f>COUNT(E1622:E1628)</f>
        <v>7</v>
      </c>
      <c r="F1701" s="5">
        <f>COUNT(F1622:F1633)</f>
        <v>12</v>
      </c>
      <c r="G1701" s="5">
        <f>COUNT(G1622:G1646)</f>
        <v>25</v>
      </c>
      <c r="H1701" s="5">
        <f>COUNT(H1622:H1645)</f>
        <v>24</v>
      </c>
      <c r="I1701" s="5">
        <f>COUNT(I1622:I1627)</f>
        <v>6</v>
      </c>
      <c r="J1701" s="5"/>
      <c r="K1701" s="5"/>
      <c r="L1701" s="5"/>
      <c r="M1701" s="5"/>
      <c r="N1701" s="5"/>
      <c r="O1701" s="5"/>
      <c r="P1701" s="5"/>
      <c r="Q1701" s="5"/>
    </row>
    <row r="1702" spans="1:17" x14ac:dyDescent="0.25">
      <c r="A1702" s="5"/>
      <c r="B1702" s="5"/>
      <c r="C1702" s="5"/>
      <c r="D1702" s="5" t="s">
        <v>59</v>
      </c>
      <c r="E1702" s="9">
        <f>AVERAGE(E1622:E1628)</f>
        <v>7.4285714285714288</v>
      </c>
      <c r="F1702" s="9">
        <f>AVERAGE(F1622:F1633)</f>
        <v>6.833333333333333</v>
      </c>
      <c r="G1702" s="9">
        <f>AVERAGE(G1622:G1646)</f>
        <v>6.52</v>
      </c>
      <c r="H1702" s="9">
        <f>AVERAGE(H1622:H1645)</f>
        <v>7.583333333333333</v>
      </c>
      <c r="I1702" s="9">
        <f>AVERAGE(I1622:I1627)</f>
        <v>6.666666666666667</v>
      </c>
      <c r="J1702" s="5"/>
      <c r="K1702" s="5"/>
      <c r="L1702" s="5"/>
      <c r="M1702" s="5"/>
      <c r="N1702" s="5"/>
      <c r="O1702" s="5"/>
      <c r="P1702" s="5"/>
      <c r="Q1702" s="5"/>
    </row>
    <row r="1703" spans="1:17" x14ac:dyDescent="0.25">
      <c r="A1703" s="5"/>
      <c r="B1703" s="5"/>
      <c r="C1703" s="5"/>
      <c r="D1703" s="5" t="s">
        <v>60</v>
      </c>
      <c r="E1703" s="9">
        <f>_xlfn.QUARTILE.INC(E1622:E1628,1)</f>
        <v>7</v>
      </c>
      <c r="F1703" s="9">
        <f>_xlfn.QUARTILE.INC(F1622:F1633,1)</f>
        <v>6.75</v>
      </c>
      <c r="G1703" s="9">
        <f>_xlfn.QUARTILE.INC(G1622:G1646,1)</f>
        <v>6</v>
      </c>
      <c r="H1703" s="9">
        <f>_xlfn.QUARTILE.INC(H1622:H1645,1)</f>
        <v>7</v>
      </c>
      <c r="I1703" s="9">
        <f>_xlfn.QUARTILE.INC(I1622:I1627,1)</f>
        <v>6</v>
      </c>
      <c r="J1703" s="5"/>
      <c r="K1703" s="5"/>
      <c r="L1703" s="5"/>
      <c r="M1703" s="5"/>
      <c r="N1703" s="5"/>
      <c r="O1703" s="5"/>
      <c r="P1703" s="5"/>
      <c r="Q1703" s="5"/>
    </row>
    <row r="1704" spans="1:17" x14ac:dyDescent="0.25">
      <c r="A1704" s="5"/>
      <c r="B1704" s="5"/>
      <c r="C1704" s="5"/>
      <c r="D1704" s="5" t="s">
        <v>61</v>
      </c>
      <c r="E1704" s="9">
        <f>MEDIAN(E1622:E1628)</f>
        <v>8</v>
      </c>
      <c r="F1704" s="9">
        <f>MEDIAN(F1622:F1633)</f>
        <v>7</v>
      </c>
      <c r="G1704" s="9">
        <f>MEDIAN(G1622:G1646)</f>
        <v>6</v>
      </c>
      <c r="H1704" s="9">
        <f>MEDIAN(H1622:H1645)</f>
        <v>7</v>
      </c>
      <c r="I1704" s="9">
        <f>MEDIAN(I1622:I1627)</f>
        <v>6.5</v>
      </c>
      <c r="J1704" s="5"/>
      <c r="K1704" s="5"/>
      <c r="L1704" s="5"/>
      <c r="M1704" s="5"/>
      <c r="N1704" s="5"/>
      <c r="O1704" s="5"/>
      <c r="P1704" s="5"/>
      <c r="Q1704" s="5"/>
    </row>
    <row r="1705" spans="1:17" x14ac:dyDescent="0.25">
      <c r="A1705" s="5"/>
      <c r="B1705" s="5"/>
      <c r="C1705" s="5"/>
      <c r="D1705" s="5" t="s">
        <v>62</v>
      </c>
      <c r="E1705" s="9">
        <f>_xlfn.QUARTILE.INC(E1622:E1628,3)</f>
        <v>8.5</v>
      </c>
      <c r="F1705" s="9">
        <f>_xlfn.QUARTILE.INC(F1622:F1633,3)</f>
        <v>8</v>
      </c>
      <c r="G1705" s="9">
        <f>_xlfn.QUARTILE.INC(G1622:G1646,3)</f>
        <v>8</v>
      </c>
      <c r="H1705" s="9">
        <f>_xlfn.QUARTILE.INC(H1622:H1645,3)</f>
        <v>9</v>
      </c>
      <c r="I1705" s="9">
        <f>_xlfn.QUARTILE.INC(I1622:I1627,3)</f>
        <v>7</v>
      </c>
      <c r="J1705" s="5"/>
      <c r="K1705" s="5"/>
      <c r="L1705" s="5"/>
      <c r="M1705" s="5"/>
      <c r="N1705" s="5"/>
      <c r="O1705" s="5"/>
      <c r="P1705" s="5"/>
      <c r="Q1705" s="5"/>
    </row>
    <row r="1706" spans="1:17" x14ac:dyDescent="0.25">
      <c r="A1706" s="5"/>
      <c r="B1706" s="5"/>
      <c r="C1706" s="5"/>
      <c r="D1706" s="5" t="s">
        <v>63</v>
      </c>
      <c r="E1706" s="9">
        <f>E1705-E1703</f>
        <v>1.5</v>
      </c>
      <c r="F1706" s="9">
        <f>F1705-F1703</f>
        <v>1.25</v>
      </c>
      <c r="G1706" s="9">
        <f>G1705-G1703</f>
        <v>2</v>
      </c>
      <c r="H1706" s="9">
        <f>H1705-H1703</f>
        <v>2</v>
      </c>
      <c r="I1706" s="9">
        <f>I1705-I1703</f>
        <v>1</v>
      </c>
      <c r="J1706" s="5"/>
      <c r="K1706" s="5"/>
      <c r="L1706" s="5"/>
      <c r="M1706" s="5"/>
      <c r="N1706" s="5"/>
      <c r="O1706" s="5"/>
      <c r="P1706" s="5"/>
      <c r="Q1706" s="5"/>
    </row>
    <row r="1707" spans="1:17" x14ac:dyDescent="0.25">
      <c r="A1707" s="5"/>
      <c r="B1707" s="5"/>
      <c r="C1707" s="5"/>
      <c r="D1707" s="5" t="s">
        <v>64</v>
      </c>
      <c r="E1707" s="9">
        <f>E1703-1.5*E1706</f>
        <v>4.75</v>
      </c>
      <c r="F1707" s="9">
        <f>F1703-1.5*F1706</f>
        <v>4.875</v>
      </c>
      <c r="G1707" s="9">
        <f>G1703-1.5*G1706</f>
        <v>3</v>
      </c>
      <c r="H1707" s="9">
        <f>H1703-1.5*H1706</f>
        <v>4</v>
      </c>
      <c r="I1707" s="9">
        <f>I1703-1.5*I1706</f>
        <v>4.5</v>
      </c>
      <c r="J1707" s="5"/>
      <c r="K1707" s="5"/>
      <c r="L1707" s="5"/>
      <c r="M1707" s="5"/>
      <c r="N1707" s="5"/>
      <c r="O1707" s="5"/>
      <c r="P1707" s="5"/>
      <c r="Q1707" s="5"/>
    </row>
    <row r="1708" spans="1:17" x14ac:dyDescent="0.25">
      <c r="A1708" s="5"/>
      <c r="B1708" s="5"/>
      <c r="C1708" s="5"/>
      <c r="D1708" s="5" t="s">
        <v>65</v>
      </c>
      <c r="E1708" s="9">
        <f>E1705+1.5*E1706</f>
        <v>10.75</v>
      </c>
      <c r="F1708" s="9">
        <f>F1705+1.5*F1706</f>
        <v>9.875</v>
      </c>
      <c r="G1708" s="9">
        <f>G1705+1.5*G1706</f>
        <v>11</v>
      </c>
      <c r="H1708" s="9">
        <f>H1705+1.5*H1706</f>
        <v>12</v>
      </c>
      <c r="I1708" s="9">
        <f>I1705+1.5*I1706</f>
        <v>8.5</v>
      </c>
      <c r="J1708" s="5"/>
      <c r="K1708" s="5"/>
      <c r="L1708" s="5"/>
      <c r="M1708" s="5"/>
      <c r="N1708" s="5"/>
      <c r="O1708" s="5"/>
      <c r="P1708" s="5"/>
      <c r="Q1708" s="5"/>
    </row>
    <row r="1709" spans="1:17" x14ac:dyDescent="0.25">
      <c r="A1709" s="5"/>
      <c r="B1709" s="5"/>
      <c r="C1709" s="5"/>
      <c r="D1709" s="5" t="s">
        <v>66</v>
      </c>
      <c r="E1709" s="9">
        <f>_xlfn.MINIFS(E1622:E1628,E1622:E1628,"&gt;="&amp;E1707)</f>
        <v>7</v>
      </c>
      <c r="F1709" s="9">
        <f>_xlfn.MINIFS(F1622:F1633,F1622:F1633,"&gt;="&amp;F1707)</f>
        <v>6</v>
      </c>
      <c r="G1709" s="9">
        <f>_xlfn.MINIFS(G1622:G1646,G1622:G1646,"&gt;="&amp;G1707)</f>
        <v>4</v>
      </c>
      <c r="H1709" s="9">
        <f>_xlfn.MINIFS(H1622:H1645,H1622:H1645,"&gt;="&amp;H1707)</f>
        <v>4</v>
      </c>
      <c r="I1709" s="9">
        <f>_xlfn.MINIFS(I1622:I1627,I1622:I1627,"&gt;="&amp;I1707)</f>
        <v>5</v>
      </c>
      <c r="J1709" s="5"/>
      <c r="K1709" s="5"/>
      <c r="L1709" s="5"/>
      <c r="M1709" s="5"/>
      <c r="N1709" s="5"/>
      <c r="O1709" s="5"/>
      <c r="P1709" s="5"/>
      <c r="Q1709" s="5"/>
    </row>
    <row r="1710" spans="1:17" x14ac:dyDescent="0.25">
      <c r="A1710" s="5"/>
      <c r="B1710" s="5"/>
      <c r="C1710" s="5"/>
      <c r="D1710" s="5" t="s">
        <v>67</v>
      </c>
      <c r="E1710" s="9">
        <f>_xlfn.MAXIFS(E1622:E1628,E1622:E1628,"&lt;="&amp;E1708)</f>
        <v>9</v>
      </c>
      <c r="F1710" s="9">
        <f>_xlfn.MAXIFS(F1622:F1633,F1622:F1633,"&lt;="&amp;F1708)</f>
        <v>9</v>
      </c>
      <c r="G1710" s="9">
        <f>_xlfn.MAXIFS(G1622:G1646,G1622:G1646,"&lt;="&amp;G1708)</f>
        <v>10</v>
      </c>
      <c r="H1710" s="9">
        <f>_xlfn.MAXIFS(H1622:H1645,H1622:H1645,"&lt;="&amp;H1708)</f>
        <v>10</v>
      </c>
      <c r="I1710" s="9">
        <f>_xlfn.MAXIFS(I1622:I1627,I1622:I1627,"&lt;="&amp;I1708)</f>
        <v>7</v>
      </c>
      <c r="J1710" s="5"/>
      <c r="K1710" s="5"/>
      <c r="L1710" s="5"/>
      <c r="M1710" s="5"/>
      <c r="N1710" s="5"/>
      <c r="O1710" s="5"/>
      <c r="P1710" s="5"/>
      <c r="Q1710" s="5"/>
    </row>
    <row r="1711" spans="1:17" x14ac:dyDescent="0.25">
      <c r="A1711" s="5"/>
      <c r="B1711" s="5"/>
      <c r="C1711" s="5"/>
      <c r="D1711" s="5"/>
      <c r="E1711" s="5"/>
      <c r="F1711" s="5"/>
      <c r="G1711" s="5"/>
      <c r="H1711" s="5"/>
      <c r="I1711" s="5"/>
      <c r="J1711" s="5"/>
      <c r="K1711" s="5"/>
      <c r="L1711" s="5"/>
      <c r="M1711" s="5"/>
      <c r="N1711" s="5"/>
      <c r="O1711" s="5"/>
      <c r="P1711" s="5"/>
      <c r="Q1711" s="5"/>
    </row>
    <row r="1712" spans="1:17" x14ac:dyDescent="0.25">
      <c r="A1712" s="5"/>
      <c r="B1712" s="5"/>
      <c r="C1712" s="5"/>
      <c r="D1712" s="5"/>
      <c r="E1712" s="5"/>
      <c r="F1712" s="5"/>
      <c r="G1712" s="5"/>
      <c r="H1712" s="5"/>
      <c r="I1712" s="5"/>
      <c r="J1712" s="5"/>
      <c r="K1712" s="5"/>
      <c r="L1712" s="5"/>
      <c r="M1712" s="5"/>
      <c r="N1712" s="5"/>
      <c r="O1712" s="5"/>
      <c r="P1712" s="5"/>
      <c r="Q1712" s="5"/>
    </row>
    <row r="1713" spans="1:22" x14ac:dyDescent="0.25">
      <c r="A1713" s="5"/>
      <c r="B1713" s="5"/>
      <c r="C1713" s="5"/>
      <c r="D1713" s="5"/>
      <c r="E1713" s="5"/>
      <c r="F1713" s="5"/>
      <c r="G1713" s="5"/>
      <c r="H1713" s="5"/>
      <c r="I1713" s="5"/>
      <c r="J1713" s="5"/>
      <c r="K1713" s="5"/>
      <c r="L1713" s="5"/>
      <c r="M1713" s="5"/>
      <c r="N1713" s="5"/>
      <c r="O1713" s="5"/>
      <c r="P1713" s="5"/>
      <c r="Q1713" s="5"/>
    </row>
    <row r="1714" spans="1:22" x14ac:dyDescent="0.25">
      <c r="A1714" s="5"/>
      <c r="B1714" s="5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  <c r="O1714" s="5"/>
      <c r="P1714" s="5"/>
      <c r="Q1714" s="5"/>
    </row>
    <row r="1715" spans="1:22" x14ac:dyDescent="0.25">
      <c r="A1715" s="5"/>
      <c r="B1715" s="5" t="str">
        <f>Спирман_графики!D231&amp;CHAR(10)&amp;Спирман_графики!B233</f>
        <v>ТК5 в зависимости от Л1
ρ = 0,045; p = 0,7043; n = 74</v>
      </c>
      <c r="C1715" s="5"/>
      <c r="D1715" s="5"/>
      <c r="E1715" s="5"/>
      <c r="F1715" s="5"/>
      <c r="G1715" s="5"/>
      <c r="H1715" s="5"/>
      <c r="I1715" s="5"/>
      <c r="J1715" s="5"/>
      <c r="K1715" s="5"/>
      <c r="L1715" s="5"/>
      <c r="M1715" s="5"/>
      <c r="N1715" s="5"/>
      <c r="O1715" s="5"/>
      <c r="P1715" s="5"/>
      <c r="Q1715" s="5"/>
    </row>
    <row r="1716" spans="1:22" x14ac:dyDescent="0.25">
      <c r="A1716" s="5"/>
      <c r="B1716" s="5"/>
      <c r="C1716" s="5"/>
      <c r="D1716" s="5"/>
      <c r="E1716" s="5"/>
      <c r="F1716" s="5"/>
      <c r="G1716" s="5"/>
      <c r="H1716" s="5"/>
      <c r="I1716" s="5"/>
      <c r="J1716" s="5"/>
      <c r="K1716" s="5"/>
      <c r="L1716" s="5"/>
      <c r="M1716" s="5"/>
      <c r="N1716" s="5"/>
      <c r="O1716" s="5"/>
      <c r="P1716" s="5"/>
      <c r="Q1716" s="5"/>
    </row>
    <row r="1717" spans="1:22" x14ac:dyDescent="0.25">
      <c r="A1717" s="5"/>
      <c r="B1717" s="5"/>
      <c r="C1717" s="5"/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  <c r="O1717" s="5"/>
      <c r="P1717" s="5"/>
      <c r="Q1717" s="5"/>
    </row>
    <row r="1718" spans="1:22" x14ac:dyDescent="0.25">
      <c r="A1718" s="5"/>
      <c r="B1718" s="5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  <c r="O1718" s="5"/>
      <c r="P1718" s="5"/>
      <c r="Q1718" s="5"/>
    </row>
    <row r="1719" spans="1:22" x14ac:dyDescent="0.25">
      <c r="A1719" s="5"/>
      <c r="B1719" s="5"/>
      <c r="C1719" s="5"/>
      <c r="D1719" s="5"/>
      <c r="E1719" s="5"/>
      <c r="F1719" s="5"/>
      <c r="G1719" s="5"/>
      <c r="H1719" s="5"/>
      <c r="I1719" s="5"/>
      <c r="J1719" s="5"/>
      <c r="K1719" s="5"/>
      <c r="L1719" s="5"/>
      <c r="M1719" s="5"/>
      <c r="N1719" s="5"/>
      <c r="O1719" s="5"/>
      <c r="P1719" s="5"/>
      <c r="Q1719" s="5"/>
      <c r="U1719" t="s">
        <v>68</v>
      </c>
    </row>
    <row r="1720" spans="1:22" x14ac:dyDescent="0.25">
      <c r="A1720" s="5">
        <v>0.75</v>
      </c>
      <c r="B1720" s="5">
        <f>E1703</f>
        <v>7</v>
      </c>
      <c r="C1720" s="5"/>
      <c r="D1720" s="5"/>
      <c r="E1720" s="5"/>
      <c r="F1720" s="5"/>
      <c r="G1720" s="5"/>
      <c r="H1720" s="5"/>
      <c r="I1720" s="5"/>
      <c r="J1720" s="5"/>
      <c r="K1720" s="5"/>
      <c r="L1720" s="5"/>
      <c r="M1720" s="5"/>
      <c r="N1720" s="5"/>
      <c r="O1720" s="5"/>
      <c r="P1720" s="5"/>
      <c r="Q1720" s="5"/>
      <c r="U1720">
        <f>A1726</f>
        <v>0.75</v>
      </c>
      <c r="V1720">
        <f>B1726</f>
        <v>8</v>
      </c>
    </row>
    <row r="1721" spans="1:22" x14ac:dyDescent="0.25">
      <c r="A1721" s="5">
        <v>1.25</v>
      </c>
      <c r="B1721" s="5">
        <f>E1703</f>
        <v>7</v>
      </c>
      <c r="C1721" s="5"/>
      <c r="D1721" s="5"/>
      <c r="E1721" s="5"/>
      <c r="F1721" s="5"/>
      <c r="G1721" s="5"/>
      <c r="H1721" s="5"/>
      <c r="I1721" s="5"/>
      <c r="J1721" s="5"/>
      <c r="K1721" s="5"/>
      <c r="L1721" s="5"/>
      <c r="M1721" s="5"/>
      <c r="N1721" s="5"/>
      <c r="O1721" s="5"/>
      <c r="P1721" s="5"/>
      <c r="Q1721" s="5"/>
      <c r="U1721">
        <f>A1727</f>
        <v>1.25</v>
      </c>
      <c r="V1721">
        <f>B1727</f>
        <v>8</v>
      </c>
    </row>
    <row r="1722" spans="1:22" x14ac:dyDescent="0.25">
      <c r="A1722" s="5">
        <v>1.25</v>
      </c>
      <c r="B1722" s="5">
        <f>E1705</f>
        <v>8.5</v>
      </c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  <c r="O1722" s="5"/>
      <c r="P1722" s="5"/>
      <c r="Q1722" s="5"/>
    </row>
    <row r="1723" spans="1:22" x14ac:dyDescent="0.25">
      <c r="A1723" s="5">
        <v>0.75</v>
      </c>
      <c r="B1723" s="5">
        <f>E1705</f>
        <v>8.5</v>
      </c>
      <c r="C1723" s="5"/>
      <c r="D1723" s="5"/>
      <c r="E1723" s="5"/>
      <c r="F1723" s="5"/>
      <c r="G1723" s="5"/>
      <c r="H1723" s="5"/>
      <c r="I1723" s="5"/>
      <c r="J1723" s="5"/>
      <c r="K1723" s="5"/>
      <c r="L1723" s="5"/>
      <c r="M1723" s="5"/>
      <c r="N1723" s="5"/>
      <c r="O1723" s="5"/>
      <c r="P1723" s="5"/>
      <c r="Q1723" s="5"/>
      <c r="U1723">
        <f>A1745</f>
        <v>1.75</v>
      </c>
      <c r="V1723">
        <f>B1745</f>
        <v>7</v>
      </c>
    </row>
    <row r="1724" spans="1:22" x14ac:dyDescent="0.25">
      <c r="A1724" s="5">
        <v>0.75</v>
      </c>
      <c r="B1724" s="5">
        <f>E1703</f>
        <v>7</v>
      </c>
      <c r="C1724" s="5"/>
      <c r="D1724" s="5"/>
      <c r="E1724" s="5"/>
      <c r="F1724" s="5"/>
      <c r="G1724" s="5"/>
      <c r="H1724" s="5"/>
      <c r="I1724" s="5"/>
      <c r="J1724" s="5"/>
      <c r="K1724" s="5"/>
      <c r="L1724" s="5"/>
      <c r="M1724" s="5"/>
      <c r="N1724" s="5"/>
      <c r="O1724" s="5"/>
      <c r="P1724" s="5"/>
      <c r="Q1724" s="5"/>
      <c r="U1724">
        <f>A1746</f>
        <v>2.25</v>
      </c>
      <c r="V1724">
        <f>B1746</f>
        <v>7</v>
      </c>
    </row>
    <row r="1725" spans="1:22" x14ac:dyDescent="0.25">
      <c r="A1725" s="5"/>
      <c r="B1725" s="5"/>
      <c r="C1725" s="5"/>
      <c r="D1725" s="5"/>
      <c r="E1725" s="5"/>
      <c r="F1725" s="5"/>
      <c r="G1725" s="5"/>
      <c r="H1725" s="5"/>
      <c r="I1725" s="5"/>
      <c r="J1725" s="5"/>
      <c r="K1725" s="5"/>
      <c r="L1725" s="5"/>
      <c r="M1725" s="5"/>
      <c r="N1725" s="5"/>
      <c r="O1725" s="5"/>
      <c r="P1725" s="5"/>
      <c r="Q1725" s="5"/>
    </row>
    <row r="1726" spans="1:22" x14ac:dyDescent="0.25">
      <c r="A1726" s="5">
        <v>0.75</v>
      </c>
      <c r="B1726" s="5">
        <f>E1704</f>
        <v>8</v>
      </c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  <c r="O1726" s="5"/>
      <c r="P1726" s="5"/>
      <c r="Q1726" s="5"/>
      <c r="U1726">
        <f>A1764</f>
        <v>2.75</v>
      </c>
      <c r="V1726">
        <f>B1764</f>
        <v>6</v>
      </c>
    </row>
    <row r="1727" spans="1:22" x14ac:dyDescent="0.25">
      <c r="A1727" s="5">
        <v>1.25</v>
      </c>
      <c r="B1727" s="5">
        <f>E1704</f>
        <v>8</v>
      </c>
      <c r="C1727" s="5"/>
      <c r="D1727" s="5"/>
      <c r="E1727" s="5"/>
      <c r="F1727" s="5"/>
      <c r="G1727" s="5"/>
      <c r="H1727" s="5"/>
      <c r="I1727" s="5"/>
      <c r="J1727" s="5"/>
      <c r="K1727" s="5"/>
      <c r="L1727" s="5"/>
      <c r="M1727" s="5"/>
      <c r="N1727" s="5"/>
      <c r="O1727" s="5"/>
      <c r="P1727" s="5"/>
      <c r="Q1727" s="5"/>
      <c r="U1727">
        <f>A1765</f>
        <v>3.25</v>
      </c>
      <c r="V1727">
        <f>B1765</f>
        <v>6</v>
      </c>
    </row>
    <row r="1728" spans="1:22" x14ac:dyDescent="0.25">
      <c r="A1728" s="5"/>
      <c r="B1728" s="5"/>
      <c r="C1728" s="5"/>
      <c r="D1728" s="5"/>
      <c r="E1728" s="5"/>
      <c r="F1728" s="5"/>
      <c r="G1728" s="5"/>
      <c r="H1728" s="5"/>
      <c r="I1728" s="5"/>
      <c r="J1728" s="5"/>
      <c r="K1728" s="5"/>
      <c r="L1728" s="5"/>
      <c r="M1728" s="5"/>
      <c r="N1728" s="5"/>
      <c r="O1728" s="5"/>
      <c r="P1728" s="5"/>
      <c r="Q1728" s="5"/>
    </row>
    <row r="1729" spans="1:22" x14ac:dyDescent="0.25">
      <c r="A1729" s="5">
        <v>0.87</v>
      </c>
      <c r="B1729" s="5">
        <f>E1709</f>
        <v>7</v>
      </c>
      <c r="C1729" s="5"/>
      <c r="D1729" s="5"/>
      <c r="E1729" s="5"/>
      <c r="F1729" s="5"/>
      <c r="G1729" s="5"/>
      <c r="H1729" s="5"/>
      <c r="I1729" s="5"/>
      <c r="J1729" s="5"/>
      <c r="K1729" s="5"/>
      <c r="L1729" s="5"/>
      <c r="M1729" s="5"/>
      <c r="N1729" s="5"/>
      <c r="O1729" s="5"/>
      <c r="P1729" s="5"/>
      <c r="Q1729" s="5"/>
      <c r="U1729">
        <f>A1783</f>
        <v>3.75</v>
      </c>
      <c r="V1729">
        <f>B1783</f>
        <v>7</v>
      </c>
    </row>
    <row r="1730" spans="1:22" x14ac:dyDescent="0.25">
      <c r="A1730" s="5">
        <v>1.1299999999999999</v>
      </c>
      <c r="B1730" s="5">
        <f>E1709</f>
        <v>7</v>
      </c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  <c r="O1730" s="5"/>
      <c r="P1730" s="5"/>
      <c r="Q1730" s="5"/>
      <c r="U1730">
        <f>A1784</f>
        <v>4.25</v>
      </c>
      <c r="V1730">
        <f>B1784</f>
        <v>7</v>
      </c>
    </row>
    <row r="1731" spans="1:22" x14ac:dyDescent="0.25">
      <c r="A1731" s="5">
        <v>1</v>
      </c>
      <c r="B1731" s="5">
        <f>E1709</f>
        <v>7</v>
      </c>
      <c r="C1731" s="5"/>
      <c r="D1731" s="5"/>
      <c r="E1731" s="5"/>
      <c r="F1731" s="5"/>
      <c r="G1731" s="5"/>
      <c r="H1731" s="5"/>
      <c r="I1731" s="5"/>
      <c r="J1731" s="5"/>
      <c r="K1731" s="5"/>
      <c r="L1731" s="5"/>
      <c r="M1731" s="5"/>
      <c r="N1731" s="5"/>
      <c r="O1731" s="5"/>
      <c r="P1731" s="5"/>
      <c r="Q1731" s="5"/>
    </row>
    <row r="1732" spans="1:22" x14ac:dyDescent="0.25">
      <c r="A1732" s="5">
        <v>1</v>
      </c>
      <c r="B1732" s="5">
        <f>E1703</f>
        <v>7</v>
      </c>
      <c r="C1732" s="5"/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  <c r="O1732" s="5"/>
      <c r="P1732" s="5"/>
      <c r="Q1732" s="5"/>
      <c r="U1732">
        <f>A1802</f>
        <v>4.75</v>
      </c>
      <c r="V1732">
        <f>B1802</f>
        <v>6.5</v>
      </c>
    </row>
    <row r="1733" spans="1:22" x14ac:dyDescent="0.25">
      <c r="A1733" s="5"/>
      <c r="B1733" s="5"/>
      <c r="C1733" s="5"/>
      <c r="D1733" s="5"/>
      <c r="E1733" s="5"/>
      <c r="F1733" s="5"/>
      <c r="G1733" s="5"/>
      <c r="H1733" s="5"/>
      <c r="I1733" s="5"/>
      <c r="J1733" s="5"/>
      <c r="K1733" s="5"/>
      <c r="L1733" s="5"/>
      <c r="M1733" s="5"/>
      <c r="N1733" s="5"/>
      <c r="O1733" s="5"/>
      <c r="P1733" s="5"/>
      <c r="Q1733" s="5"/>
      <c r="U1733">
        <f>A1803</f>
        <v>5.25</v>
      </c>
      <c r="V1733">
        <f>B1803</f>
        <v>6.5</v>
      </c>
    </row>
    <row r="1734" spans="1:22" x14ac:dyDescent="0.25">
      <c r="A1734" s="5">
        <v>1</v>
      </c>
      <c r="B1734" s="5">
        <f>E1705</f>
        <v>8.5</v>
      </c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  <c r="O1734" s="5"/>
      <c r="P1734" s="5"/>
      <c r="Q1734" s="5"/>
    </row>
    <row r="1735" spans="1:22" x14ac:dyDescent="0.25">
      <c r="A1735" s="5">
        <v>1</v>
      </c>
      <c r="B1735" s="5">
        <f>E1710</f>
        <v>9</v>
      </c>
      <c r="C1735" s="5"/>
      <c r="D1735" s="5"/>
      <c r="E1735" s="5"/>
      <c r="F1735" s="5"/>
      <c r="G1735" s="5"/>
      <c r="H1735" s="5"/>
      <c r="I1735" s="5"/>
      <c r="J1735" s="5"/>
      <c r="K1735" s="5"/>
      <c r="L1735" s="5"/>
      <c r="M1735" s="5"/>
      <c r="N1735" s="5"/>
      <c r="O1735" s="5"/>
      <c r="P1735" s="5"/>
      <c r="Q1735" s="5"/>
    </row>
    <row r="1736" spans="1:22" x14ac:dyDescent="0.25">
      <c r="A1736" s="5">
        <v>0.87</v>
      </c>
      <c r="B1736" s="5">
        <f>E1710</f>
        <v>9</v>
      </c>
      <c r="C1736" s="5"/>
      <c r="D1736" s="5"/>
      <c r="E1736" s="5"/>
      <c r="F1736" s="5"/>
      <c r="G1736" s="5"/>
      <c r="H1736" s="5"/>
      <c r="I1736" s="5"/>
      <c r="J1736" s="5"/>
      <c r="K1736" s="5"/>
      <c r="L1736" s="5"/>
      <c r="M1736" s="5"/>
      <c r="N1736" s="5"/>
      <c r="O1736" s="5"/>
      <c r="P1736" s="5"/>
      <c r="Q1736" s="5"/>
    </row>
    <row r="1737" spans="1:22" x14ac:dyDescent="0.25">
      <c r="A1737" s="5">
        <v>1.1299999999999999</v>
      </c>
      <c r="B1737" s="5">
        <f>E1710</f>
        <v>9</v>
      </c>
      <c r="C1737" s="5"/>
      <c r="D1737" s="5"/>
      <c r="E1737" s="5"/>
      <c r="F1737" s="5"/>
      <c r="G1737" s="5"/>
      <c r="H1737" s="5"/>
      <c r="I1737" s="5"/>
      <c r="J1737" s="5"/>
      <c r="K1737" s="5"/>
      <c r="L1737" s="5"/>
      <c r="M1737" s="5"/>
      <c r="N1737" s="5"/>
      <c r="O1737" s="5"/>
      <c r="P1737" s="5"/>
      <c r="Q1737" s="5"/>
    </row>
    <row r="1738" spans="1:22" x14ac:dyDescent="0.25">
      <c r="A1738" s="5"/>
      <c r="B1738" s="5"/>
      <c r="C1738" s="5"/>
      <c r="D1738" s="5"/>
      <c r="E1738" s="5"/>
      <c r="F1738" s="5"/>
      <c r="G1738" s="5"/>
      <c r="H1738" s="5"/>
      <c r="I1738" s="5"/>
      <c r="J1738" s="5"/>
      <c r="K1738" s="5"/>
      <c r="L1738" s="5"/>
      <c r="M1738" s="5"/>
      <c r="N1738" s="5"/>
      <c r="O1738" s="5"/>
      <c r="P1738" s="5"/>
      <c r="Q1738" s="5"/>
    </row>
    <row r="1739" spans="1:22" x14ac:dyDescent="0.25">
      <c r="A1739" s="5">
        <v>1.75</v>
      </c>
      <c r="B1739" s="5">
        <f>F1703</f>
        <v>6.75</v>
      </c>
      <c r="C1739" s="5"/>
      <c r="D1739" s="5"/>
      <c r="E1739" s="5"/>
      <c r="F1739" s="5"/>
      <c r="G1739" s="5"/>
      <c r="H1739" s="5"/>
      <c r="I1739" s="5"/>
      <c r="J1739" s="5"/>
      <c r="K1739" s="5"/>
      <c r="L1739" s="5"/>
      <c r="M1739" s="5"/>
      <c r="N1739" s="5"/>
      <c r="O1739" s="5"/>
      <c r="P1739" s="5"/>
      <c r="Q1739" s="5"/>
    </row>
    <row r="1740" spans="1:22" x14ac:dyDescent="0.25">
      <c r="A1740" s="5">
        <v>2.25</v>
      </c>
      <c r="B1740" s="5">
        <f>F1703</f>
        <v>6.75</v>
      </c>
      <c r="C1740" s="5"/>
      <c r="D1740" s="5"/>
      <c r="E1740" s="5"/>
      <c r="F1740" s="5"/>
      <c r="G1740" s="5"/>
      <c r="H1740" s="5"/>
      <c r="I1740" s="5"/>
      <c r="J1740" s="5"/>
      <c r="K1740" s="5"/>
      <c r="L1740" s="5"/>
      <c r="M1740" s="5"/>
      <c r="N1740" s="5"/>
      <c r="O1740" s="5"/>
      <c r="P1740" s="5"/>
      <c r="Q1740" s="5"/>
    </row>
    <row r="1741" spans="1:22" x14ac:dyDescent="0.25">
      <c r="A1741" s="5">
        <v>2.25</v>
      </c>
      <c r="B1741" s="5">
        <f>F1705</f>
        <v>8</v>
      </c>
      <c r="C1741" s="5"/>
      <c r="D1741" s="5"/>
      <c r="E1741" s="5"/>
      <c r="F1741" s="5"/>
      <c r="G1741" s="5"/>
      <c r="H1741" s="5"/>
      <c r="I1741" s="5"/>
      <c r="J1741" s="5"/>
      <c r="K1741" s="5"/>
      <c r="L1741" s="5"/>
      <c r="M1741" s="5"/>
      <c r="N1741" s="5"/>
      <c r="O1741" s="5"/>
      <c r="P1741" s="5"/>
      <c r="Q1741" s="5"/>
    </row>
    <row r="1742" spans="1:22" x14ac:dyDescent="0.25">
      <c r="A1742" s="5">
        <v>1.75</v>
      </c>
      <c r="B1742" s="5">
        <f>F1705</f>
        <v>8</v>
      </c>
      <c r="C1742" s="5"/>
      <c r="D1742" s="5"/>
      <c r="E1742" s="5"/>
      <c r="F1742" s="5"/>
      <c r="G1742" s="5"/>
      <c r="H1742" s="5"/>
      <c r="I1742" s="5"/>
      <c r="J1742" s="5"/>
      <c r="K1742" s="5"/>
      <c r="L1742" s="5"/>
      <c r="M1742" s="5"/>
      <c r="N1742" s="5"/>
      <c r="O1742" s="5"/>
      <c r="P1742" s="5"/>
      <c r="Q1742" s="5"/>
    </row>
    <row r="1743" spans="1:22" x14ac:dyDescent="0.25">
      <c r="A1743" s="5">
        <v>1.75</v>
      </c>
      <c r="B1743" s="5">
        <f>F1703</f>
        <v>6.75</v>
      </c>
      <c r="C1743" s="5"/>
      <c r="D1743" s="5"/>
      <c r="E1743" s="5"/>
      <c r="F1743" s="5"/>
      <c r="G1743" s="5"/>
      <c r="H1743" s="5"/>
      <c r="I1743" s="5"/>
      <c r="J1743" s="5"/>
      <c r="K1743" s="5"/>
      <c r="L1743" s="5"/>
      <c r="M1743" s="5"/>
      <c r="N1743" s="5"/>
      <c r="O1743" s="5"/>
      <c r="P1743" s="5"/>
      <c r="Q1743" s="5"/>
    </row>
    <row r="1744" spans="1:22" x14ac:dyDescent="0.25">
      <c r="A1744" s="5"/>
      <c r="B1744" s="5"/>
      <c r="C1744" s="5"/>
      <c r="D1744" s="5"/>
      <c r="E1744" s="5"/>
      <c r="F1744" s="5"/>
      <c r="G1744" s="5"/>
      <c r="H1744" s="5"/>
      <c r="I1744" s="5"/>
      <c r="J1744" s="5"/>
      <c r="K1744" s="5"/>
      <c r="L1744" s="5"/>
      <c r="M1744" s="5"/>
      <c r="N1744" s="5"/>
      <c r="O1744" s="5"/>
      <c r="P1744" s="5"/>
      <c r="Q1744" s="5"/>
    </row>
    <row r="1745" spans="1:17" x14ac:dyDescent="0.25">
      <c r="A1745" s="5">
        <v>1.75</v>
      </c>
      <c r="B1745" s="5">
        <f>F1704</f>
        <v>7</v>
      </c>
      <c r="C1745" s="5"/>
      <c r="D1745" s="5"/>
      <c r="E1745" s="5"/>
      <c r="F1745" s="5"/>
      <c r="G1745" s="5"/>
      <c r="H1745" s="5"/>
      <c r="I1745" s="5"/>
      <c r="J1745" s="5"/>
      <c r="K1745" s="5"/>
      <c r="L1745" s="5"/>
      <c r="M1745" s="5"/>
      <c r="N1745" s="5"/>
      <c r="O1745" s="5"/>
      <c r="P1745" s="5"/>
      <c r="Q1745" s="5"/>
    </row>
    <row r="1746" spans="1:17" x14ac:dyDescent="0.25">
      <c r="A1746" s="5">
        <v>2.25</v>
      </c>
      <c r="B1746" s="5">
        <f>F1704</f>
        <v>7</v>
      </c>
      <c r="C1746" s="5"/>
      <c r="D1746" s="5"/>
      <c r="E1746" s="5"/>
      <c r="F1746" s="5"/>
      <c r="G1746" s="5"/>
      <c r="H1746" s="5"/>
      <c r="I1746" s="5"/>
      <c r="J1746" s="5"/>
      <c r="K1746" s="5"/>
      <c r="L1746" s="5"/>
      <c r="M1746" s="5"/>
      <c r="N1746" s="5"/>
      <c r="O1746" s="5"/>
      <c r="P1746" s="5"/>
      <c r="Q1746" s="5"/>
    </row>
    <row r="1747" spans="1:17" x14ac:dyDescent="0.25">
      <c r="A1747" s="5"/>
      <c r="B1747" s="5"/>
      <c r="C1747" s="5"/>
      <c r="D1747" s="5"/>
      <c r="E1747" s="5"/>
      <c r="F1747" s="5"/>
      <c r="G1747" s="5"/>
      <c r="H1747" s="5"/>
      <c r="I1747" s="5"/>
      <c r="J1747" s="5"/>
      <c r="K1747" s="5"/>
      <c r="L1747" s="5"/>
      <c r="M1747" s="5"/>
      <c r="N1747" s="5"/>
      <c r="O1747" s="5"/>
      <c r="P1747" s="5"/>
      <c r="Q1747" s="5"/>
    </row>
    <row r="1748" spans="1:17" x14ac:dyDescent="0.25">
      <c r="A1748" s="5">
        <v>1.87</v>
      </c>
      <c r="B1748" s="5">
        <f>F1709</f>
        <v>6</v>
      </c>
      <c r="C1748" s="5"/>
      <c r="D1748" s="5"/>
      <c r="E1748" s="5"/>
      <c r="F1748" s="5"/>
      <c r="G1748" s="5"/>
      <c r="H1748" s="5"/>
      <c r="I1748" s="5"/>
      <c r="J1748" s="5"/>
      <c r="K1748" s="5"/>
      <c r="L1748" s="5"/>
      <c r="M1748" s="5"/>
      <c r="N1748" s="5"/>
      <c r="O1748" s="5"/>
      <c r="P1748" s="5"/>
      <c r="Q1748" s="5"/>
    </row>
    <row r="1749" spans="1:17" x14ac:dyDescent="0.25">
      <c r="A1749" s="5">
        <v>2.13</v>
      </c>
      <c r="B1749" s="5">
        <f>F1709</f>
        <v>6</v>
      </c>
      <c r="C1749" s="5"/>
      <c r="D1749" s="5"/>
      <c r="E1749" s="5"/>
      <c r="F1749" s="5"/>
      <c r="G1749" s="5"/>
      <c r="H1749" s="5"/>
      <c r="I1749" s="5"/>
      <c r="J1749" s="5"/>
      <c r="K1749" s="5"/>
      <c r="L1749" s="5"/>
      <c r="M1749" s="5"/>
      <c r="N1749" s="5"/>
      <c r="O1749" s="5"/>
      <c r="P1749" s="5"/>
      <c r="Q1749" s="5"/>
    </row>
    <row r="1750" spans="1:17" x14ac:dyDescent="0.25">
      <c r="A1750" s="5">
        <v>2</v>
      </c>
      <c r="B1750" s="5">
        <f>F1709</f>
        <v>6</v>
      </c>
      <c r="C1750" s="5"/>
      <c r="D1750" s="5"/>
      <c r="E1750" s="5"/>
      <c r="F1750" s="5"/>
      <c r="G1750" s="5"/>
      <c r="H1750" s="5"/>
      <c r="I1750" s="5"/>
      <c r="J1750" s="5"/>
      <c r="K1750" s="5"/>
      <c r="L1750" s="5"/>
      <c r="M1750" s="5"/>
      <c r="N1750" s="5"/>
      <c r="O1750" s="5"/>
      <c r="P1750" s="5"/>
      <c r="Q1750" s="5"/>
    </row>
    <row r="1751" spans="1:17" x14ac:dyDescent="0.25">
      <c r="A1751" s="5">
        <v>2</v>
      </c>
      <c r="B1751" s="5">
        <f>F1703</f>
        <v>6.75</v>
      </c>
      <c r="C1751" s="5"/>
      <c r="D1751" s="5"/>
      <c r="E1751" s="5"/>
      <c r="F1751" s="5"/>
      <c r="G1751" s="5"/>
      <c r="H1751" s="5"/>
      <c r="I1751" s="5"/>
      <c r="J1751" s="5"/>
      <c r="K1751" s="5"/>
      <c r="L1751" s="5"/>
      <c r="M1751" s="5"/>
      <c r="N1751" s="5"/>
      <c r="O1751" s="5"/>
      <c r="P1751" s="5"/>
      <c r="Q1751" s="5"/>
    </row>
    <row r="1752" spans="1:17" x14ac:dyDescent="0.25">
      <c r="A1752" s="5"/>
      <c r="B1752" s="5"/>
      <c r="C1752" s="5"/>
      <c r="D1752" s="5"/>
      <c r="E1752" s="5"/>
      <c r="F1752" s="5"/>
      <c r="G1752" s="5"/>
      <c r="H1752" s="5"/>
      <c r="I1752" s="5"/>
      <c r="J1752" s="5"/>
      <c r="K1752" s="5"/>
      <c r="L1752" s="5"/>
      <c r="M1752" s="5"/>
      <c r="N1752" s="5"/>
      <c r="O1752" s="5"/>
      <c r="P1752" s="5"/>
      <c r="Q1752" s="5"/>
    </row>
    <row r="1753" spans="1:17" x14ac:dyDescent="0.25">
      <c r="A1753" s="5">
        <v>2</v>
      </c>
      <c r="B1753" s="5">
        <f>F1705</f>
        <v>8</v>
      </c>
      <c r="C1753" s="5"/>
      <c r="D1753" s="5"/>
      <c r="E1753" s="5"/>
      <c r="F1753" s="5"/>
      <c r="G1753" s="5"/>
      <c r="H1753" s="5"/>
      <c r="I1753" s="5"/>
      <c r="J1753" s="5"/>
      <c r="K1753" s="5"/>
      <c r="L1753" s="5"/>
      <c r="M1753" s="5"/>
      <c r="N1753" s="5"/>
      <c r="O1753" s="5"/>
      <c r="P1753" s="5"/>
      <c r="Q1753" s="5"/>
    </row>
    <row r="1754" spans="1:17" x14ac:dyDescent="0.25">
      <c r="A1754" s="5">
        <v>2</v>
      </c>
      <c r="B1754" s="5">
        <f>F1710</f>
        <v>9</v>
      </c>
      <c r="C1754" s="5"/>
      <c r="D1754" s="5"/>
      <c r="E1754" s="5"/>
      <c r="F1754" s="5"/>
      <c r="G1754" s="5"/>
      <c r="H1754" s="5"/>
      <c r="I1754" s="5"/>
      <c r="J1754" s="5"/>
      <c r="K1754" s="5"/>
      <c r="L1754" s="5"/>
      <c r="M1754" s="5"/>
      <c r="N1754" s="5"/>
      <c r="O1754" s="5"/>
      <c r="P1754" s="5"/>
      <c r="Q1754" s="5"/>
    </row>
    <row r="1755" spans="1:17" x14ac:dyDescent="0.25">
      <c r="A1755" s="5">
        <v>1.87</v>
      </c>
      <c r="B1755" s="5">
        <f>F1710</f>
        <v>9</v>
      </c>
      <c r="C1755" s="5"/>
      <c r="D1755" s="5"/>
      <c r="E1755" s="5"/>
      <c r="F1755" s="5"/>
      <c r="G1755" s="5"/>
      <c r="H1755" s="5"/>
      <c r="I1755" s="5"/>
      <c r="J1755" s="5"/>
      <c r="K1755" s="5"/>
      <c r="L1755" s="5"/>
      <c r="M1755" s="5"/>
      <c r="N1755" s="5"/>
      <c r="O1755" s="5"/>
      <c r="P1755" s="5"/>
      <c r="Q1755" s="5"/>
    </row>
    <row r="1756" spans="1:17" x14ac:dyDescent="0.25">
      <c r="A1756" s="5">
        <v>2.13</v>
      </c>
      <c r="B1756" s="5">
        <f>F1710</f>
        <v>9</v>
      </c>
      <c r="C1756" s="5"/>
      <c r="D1756" s="5"/>
      <c r="E1756" s="5"/>
      <c r="F1756" s="5"/>
      <c r="G1756" s="5"/>
      <c r="H1756" s="5"/>
      <c r="I1756" s="5"/>
      <c r="J1756" s="5"/>
      <c r="K1756" s="5"/>
      <c r="L1756" s="5"/>
      <c r="M1756" s="5"/>
      <c r="N1756" s="5"/>
      <c r="O1756" s="5"/>
      <c r="P1756" s="5"/>
      <c r="Q1756" s="5"/>
    </row>
    <row r="1757" spans="1:17" x14ac:dyDescent="0.25">
      <c r="A1757" s="5"/>
      <c r="B1757" s="5"/>
      <c r="C1757" s="5"/>
      <c r="D1757" s="5"/>
      <c r="E1757" s="5"/>
      <c r="F1757" s="5"/>
      <c r="G1757" s="5"/>
      <c r="H1757" s="5"/>
      <c r="I1757" s="5"/>
      <c r="J1757" s="5"/>
      <c r="K1757" s="5"/>
      <c r="L1757" s="5"/>
      <c r="M1757" s="5"/>
      <c r="N1757" s="5"/>
      <c r="O1757" s="5"/>
      <c r="P1757" s="5"/>
      <c r="Q1757" s="5"/>
    </row>
    <row r="1758" spans="1:17" x14ac:dyDescent="0.25">
      <c r="A1758" s="5">
        <v>2.75</v>
      </c>
      <c r="B1758" s="5">
        <f>G1703</f>
        <v>6</v>
      </c>
      <c r="C1758" s="5"/>
      <c r="D1758" s="5"/>
      <c r="E1758" s="5"/>
      <c r="F1758" s="5"/>
      <c r="G1758" s="5"/>
      <c r="H1758" s="5"/>
      <c r="I1758" s="5"/>
      <c r="J1758" s="5"/>
      <c r="K1758" s="5"/>
      <c r="L1758" s="5"/>
      <c r="M1758" s="5"/>
      <c r="N1758" s="5"/>
      <c r="O1758" s="5"/>
      <c r="P1758" s="5"/>
      <c r="Q1758" s="5"/>
    </row>
    <row r="1759" spans="1:17" x14ac:dyDescent="0.25">
      <c r="A1759" s="5">
        <v>3.25</v>
      </c>
      <c r="B1759" s="5">
        <f>G1703</f>
        <v>6</v>
      </c>
      <c r="C1759" s="5"/>
      <c r="D1759" s="5"/>
      <c r="E1759" s="5"/>
      <c r="F1759" s="5"/>
      <c r="G1759" s="5"/>
      <c r="H1759" s="5"/>
      <c r="I1759" s="5"/>
      <c r="J1759" s="5"/>
      <c r="K1759" s="5"/>
      <c r="L1759" s="5"/>
      <c r="M1759" s="5"/>
      <c r="N1759" s="5"/>
      <c r="O1759" s="5"/>
      <c r="P1759" s="5"/>
      <c r="Q1759" s="5"/>
    </row>
    <row r="1760" spans="1:17" x14ac:dyDescent="0.25">
      <c r="A1760" s="5">
        <v>3.25</v>
      </c>
      <c r="B1760" s="5">
        <f>G1705</f>
        <v>8</v>
      </c>
      <c r="C1760" s="5"/>
      <c r="D1760" s="5"/>
      <c r="E1760" s="5"/>
      <c r="F1760" s="5"/>
      <c r="G1760" s="5"/>
      <c r="H1760" s="5"/>
      <c r="I1760" s="5"/>
      <c r="J1760" s="5"/>
      <c r="K1760" s="5"/>
      <c r="L1760" s="5"/>
      <c r="M1760" s="5"/>
      <c r="N1760" s="5"/>
      <c r="O1760" s="5"/>
      <c r="P1760" s="5"/>
      <c r="Q1760" s="5"/>
    </row>
    <row r="1761" spans="1:17" x14ac:dyDescent="0.25">
      <c r="A1761" s="5">
        <v>2.75</v>
      </c>
      <c r="B1761" s="5">
        <f>G1705</f>
        <v>8</v>
      </c>
      <c r="C1761" s="5"/>
      <c r="D1761" s="5"/>
      <c r="E1761" s="5"/>
      <c r="F1761" s="5"/>
      <c r="G1761" s="5"/>
      <c r="H1761" s="5"/>
      <c r="I1761" s="5"/>
      <c r="J1761" s="5"/>
      <c r="K1761" s="5"/>
      <c r="L1761" s="5"/>
      <c r="M1761" s="5"/>
      <c r="N1761" s="5"/>
      <c r="O1761" s="5"/>
      <c r="P1761" s="5"/>
      <c r="Q1761" s="5"/>
    </row>
    <row r="1762" spans="1:17" x14ac:dyDescent="0.25">
      <c r="A1762" s="5">
        <v>2.75</v>
      </c>
      <c r="B1762" s="5">
        <f>G1703</f>
        <v>6</v>
      </c>
      <c r="C1762" s="5"/>
      <c r="D1762" s="5"/>
      <c r="E1762" s="5"/>
      <c r="F1762" s="5"/>
      <c r="G1762" s="5"/>
      <c r="H1762" s="5"/>
      <c r="I1762" s="5"/>
      <c r="J1762" s="5"/>
      <c r="K1762" s="5"/>
      <c r="L1762" s="5"/>
      <c r="M1762" s="5"/>
      <c r="N1762" s="5"/>
      <c r="O1762" s="5"/>
      <c r="P1762" s="5"/>
      <c r="Q1762" s="5"/>
    </row>
    <row r="1763" spans="1:17" x14ac:dyDescent="0.25">
      <c r="A1763" s="5"/>
      <c r="B1763" s="5"/>
      <c r="C1763" s="5"/>
      <c r="D1763" s="5"/>
      <c r="E1763" s="5"/>
      <c r="F1763" s="5"/>
      <c r="G1763" s="5"/>
      <c r="H1763" s="5"/>
      <c r="I1763" s="5"/>
      <c r="J1763" s="5"/>
      <c r="K1763" s="5"/>
      <c r="L1763" s="5"/>
      <c r="M1763" s="5"/>
      <c r="N1763" s="5"/>
      <c r="O1763" s="5"/>
      <c r="P1763" s="5"/>
      <c r="Q1763" s="5"/>
    </row>
    <row r="1764" spans="1:17" x14ac:dyDescent="0.25">
      <c r="A1764" s="5">
        <v>2.75</v>
      </c>
      <c r="B1764" s="5">
        <f>G1704</f>
        <v>6</v>
      </c>
      <c r="C1764" s="5"/>
      <c r="D1764" s="5"/>
      <c r="E1764" s="5"/>
      <c r="F1764" s="5"/>
      <c r="G1764" s="5"/>
      <c r="H1764" s="5"/>
      <c r="I1764" s="5"/>
      <c r="J1764" s="5"/>
      <c r="K1764" s="5"/>
      <c r="L1764" s="5"/>
      <c r="M1764" s="5"/>
      <c r="N1764" s="5"/>
      <c r="O1764" s="5"/>
      <c r="P1764" s="5"/>
      <c r="Q1764" s="5"/>
    </row>
    <row r="1765" spans="1:17" x14ac:dyDescent="0.25">
      <c r="A1765" s="5">
        <v>3.25</v>
      </c>
      <c r="B1765" s="5">
        <f>G1704</f>
        <v>6</v>
      </c>
      <c r="C1765" s="5"/>
      <c r="D1765" s="5"/>
      <c r="E1765" s="5"/>
      <c r="F1765" s="5"/>
      <c r="G1765" s="5"/>
      <c r="H1765" s="5"/>
      <c r="I1765" s="5"/>
      <c r="J1765" s="5"/>
      <c r="K1765" s="5"/>
      <c r="L1765" s="5"/>
      <c r="M1765" s="5"/>
      <c r="N1765" s="5"/>
      <c r="O1765" s="5"/>
      <c r="P1765" s="5"/>
      <c r="Q1765" s="5"/>
    </row>
    <row r="1766" spans="1:17" x14ac:dyDescent="0.25">
      <c r="A1766" s="5"/>
      <c r="B1766" s="5"/>
      <c r="C1766" s="5"/>
      <c r="D1766" s="5"/>
      <c r="E1766" s="5"/>
      <c r="F1766" s="5"/>
      <c r="G1766" s="5"/>
      <c r="H1766" s="5"/>
      <c r="I1766" s="5"/>
      <c r="J1766" s="5"/>
      <c r="K1766" s="5"/>
      <c r="L1766" s="5"/>
      <c r="M1766" s="5"/>
      <c r="N1766" s="5"/>
      <c r="O1766" s="5"/>
      <c r="P1766" s="5"/>
      <c r="Q1766" s="5"/>
    </row>
    <row r="1767" spans="1:17" x14ac:dyDescent="0.25">
      <c r="A1767" s="5">
        <v>2.87</v>
      </c>
      <c r="B1767" s="5">
        <f>G1709</f>
        <v>4</v>
      </c>
      <c r="C1767" s="5"/>
      <c r="D1767" s="5"/>
      <c r="E1767" s="5"/>
      <c r="F1767" s="5"/>
      <c r="G1767" s="5"/>
      <c r="H1767" s="5"/>
      <c r="I1767" s="5"/>
      <c r="J1767" s="5"/>
      <c r="K1767" s="5"/>
      <c r="L1767" s="5"/>
      <c r="M1767" s="5"/>
      <c r="N1767" s="5"/>
      <c r="O1767" s="5"/>
      <c r="P1767" s="5"/>
      <c r="Q1767" s="5"/>
    </row>
    <row r="1768" spans="1:17" x14ac:dyDescent="0.25">
      <c r="A1768" s="5">
        <v>3.13</v>
      </c>
      <c r="B1768" s="5">
        <f>G1709</f>
        <v>4</v>
      </c>
      <c r="C1768" s="5"/>
      <c r="D1768" s="5"/>
      <c r="E1768" s="5"/>
      <c r="F1768" s="5"/>
      <c r="G1768" s="5"/>
      <c r="H1768" s="5"/>
      <c r="I1768" s="5"/>
      <c r="J1768" s="5"/>
      <c r="K1768" s="5"/>
      <c r="L1768" s="5"/>
      <c r="M1768" s="5"/>
      <c r="N1768" s="5"/>
      <c r="O1768" s="5"/>
      <c r="P1768" s="5"/>
      <c r="Q1768" s="5"/>
    </row>
    <row r="1769" spans="1:17" x14ac:dyDescent="0.25">
      <c r="A1769" s="5">
        <v>3</v>
      </c>
      <c r="B1769" s="5">
        <f>G1709</f>
        <v>4</v>
      </c>
      <c r="C1769" s="5"/>
      <c r="D1769" s="5"/>
      <c r="E1769" s="5"/>
      <c r="F1769" s="5"/>
      <c r="G1769" s="5"/>
      <c r="H1769" s="5"/>
      <c r="I1769" s="5"/>
      <c r="J1769" s="5"/>
      <c r="K1769" s="5"/>
      <c r="L1769" s="5"/>
      <c r="M1769" s="5"/>
      <c r="N1769" s="5"/>
      <c r="O1769" s="5"/>
      <c r="P1769" s="5"/>
      <c r="Q1769" s="5"/>
    </row>
    <row r="1770" spans="1:17" x14ac:dyDescent="0.25">
      <c r="A1770" s="5">
        <v>3</v>
      </c>
      <c r="B1770" s="5">
        <f>G1703</f>
        <v>6</v>
      </c>
      <c r="C1770" s="5"/>
      <c r="D1770" s="5"/>
      <c r="E1770" s="5"/>
      <c r="F1770" s="5"/>
      <c r="G1770" s="5"/>
      <c r="H1770" s="5"/>
      <c r="I1770" s="5"/>
      <c r="J1770" s="5"/>
      <c r="K1770" s="5"/>
      <c r="L1770" s="5"/>
      <c r="M1770" s="5"/>
      <c r="N1770" s="5"/>
      <c r="O1770" s="5"/>
      <c r="P1770" s="5"/>
      <c r="Q1770" s="5"/>
    </row>
    <row r="1771" spans="1:17" x14ac:dyDescent="0.25">
      <c r="A1771" s="5"/>
      <c r="B1771" s="5"/>
      <c r="C1771" s="5"/>
      <c r="D1771" s="5"/>
      <c r="E1771" s="5"/>
      <c r="F1771" s="5"/>
      <c r="G1771" s="5"/>
      <c r="H1771" s="5"/>
      <c r="I1771" s="5"/>
      <c r="J1771" s="5"/>
      <c r="K1771" s="5"/>
      <c r="L1771" s="5"/>
      <c r="M1771" s="5"/>
      <c r="N1771" s="5"/>
      <c r="O1771" s="5"/>
      <c r="P1771" s="5"/>
      <c r="Q1771" s="5"/>
    </row>
    <row r="1772" spans="1:17" x14ac:dyDescent="0.25">
      <c r="A1772" s="5">
        <v>3</v>
      </c>
      <c r="B1772" s="5">
        <f>G1705</f>
        <v>8</v>
      </c>
      <c r="C1772" s="5"/>
      <c r="D1772" s="5"/>
      <c r="E1772" s="5"/>
      <c r="F1772" s="5"/>
      <c r="G1772" s="5"/>
      <c r="H1772" s="5"/>
      <c r="I1772" s="5"/>
      <c r="J1772" s="5"/>
      <c r="K1772" s="5"/>
      <c r="L1772" s="5"/>
      <c r="M1772" s="5"/>
      <c r="N1772" s="5"/>
      <c r="O1772" s="5"/>
      <c r="P1772" s="5"/>
      <c r="Q1772" s="5"/>
    </row>
    <row r="1773" spans="1:17" x14ac:dyDescent="0.25">
      <c r="A1773" s="5">
        <v>3</v>
      </c>
      <c r="B1773" s="5">
        <f>G1710</f>
        <v>10</v>
      </c>
      <c r="C1773" s="5"/>
      <c r="D1773" s="5"/>
      <c r="E1773" s="5"/>
      <c r="F1773" s="5"/>
      <c r="G1773" s="5"/>
      <c r="H1773" s="5"/>
      <c r="I1773" s="5"/>
      <c r="J1773" s="5"/>
      <c r="K1773" s="5"/>
      <c r="L1773" s="5"/>
      <c r="M1773" s="5"/>
      <c r="N1773" s="5"/>
      <c r="O1773" s="5"/>
      <c r="P1773" s="5"/>
      <c r="Q1773" s="5"/>
    </row>
    <row r="1774" spans="1:17" x14ac:dyDescent="0.25">
      <c r="A1774" s="5">
        <v>2.87</v>
      </c>
      <c r="B1774" s="5">
        <f>G1710</f>
        <v>10</v>
      </c>
      <c r="C1774" s="5"/>
      <c r="D1774" s="5"/>
      <c r="E1774" s="5"/>
      <c r="F1774" s="5"/>
      <c r="G1774" s="5"/>
      <c r="H1774" s="5"/>
      <c r="I1774" s="5"/>
      <c r="J1774" s="5"/>
      <c r="K1774" s="5"/>
      <c r="L1774" s="5"/>
      <c r="M1774" s="5"/>
      <c r="N1774" s="5"/>
      <c r="O1774" s="5"/>
      <c r="P1774" s="5"/>
      <c r="Q1774" s="5"/>
    </row>
    <row r="1775" spans="1:17" x14ac:dyDescent="0.25">
      <c r="A1775" s="5">
        <v>3.13</v>
      </c>
      <c r="B1775" s="5">
        <f>G1710</f>
        <v>10</v>
      </c>
      <c r="C1775" s="5"/>
      <c r="D1775" s="5"/>
      <c r="E1775" s="5"/>
      <c r="F1775" s="5"/>
      <c r="G1775" s="5"/>
      <c r="H1775" s="5"/>
      <c r="I1775" s="5"/>
      <c r="J1775" s="5"/>
      <c r="K1775" s="5"/>
      <c r="L1775" s="5"/>
      <c r="M1775" s="5"/>
      <c r="N1775" s="5"/>
      <c r="O1775" s="5"/>
      <c r="P1775" s="5"/>
      <c r="Q1775" s="5"/>
    </row>
    <row r="1776" spans="1:17" x14ac:dyDescent="0.25">
      <c r="A1776" s="5"/>
      <c r="B1776" s="5"/>
      <c r="C1776" s="5"/>
      <c r="D1776" s="5"/>
      <c r="E1776" s="5"/>
      <c r="F1776" s="5"/>
      <c r="G1776" s="5"/>
      <c r="H1776" s="5"/>
      <c r="I1776" s="5"/>
      <c r="J1776" s="5"/>
      <c r="K1776" s="5"/>
      <c r="L1776" s="5"/>
      <c r="M1776" s="5"/>
      <c r="N1776" s="5"/>
      <c r="O1776" s="5"/>
      <c r="P1776" s="5"/>
      <c r="Q1776" s="5"/>
    </row>
    <row r="1777" spans="1:17" x14ac:dyDescent="0.25">
      <c r="A1777" s="5">
        <v>3.75</v>
      </c>
      <c r="B1777" s="5">
        <f>H1703</f>
        <v>7</v>
      </c>
      <c r="C1777" s="5"/>
      <c r="D1777" s="5"/>
      <c r="E1777" s="5"/>
      <c r="F1777" s="5"/>
      <c r="G1777" s="5"/>
      <c r="H1777" s="5"/>
      <c r="I1777" s="5"/>
      <c r="J1777" s="5"/>
      <c r="K1777" s="5"/>
      <c r="L1777" s="5"/>
      <c r="M1777" s="5"/>
      <c r="N1777" s="5"/>
      <c r="O1777" s="5"/>
      <c r="P1777" s="5"/>
      <c r="Q1777" s="5"/>
    </row>
    <row r="1778" spans="1:17" x14ac:dyDescent="0.25">
      <c r="A1778" s="5">
        <v>4.25</v>
      </c>
      <c r="B1778" s="5">
        <f>H1703</f>
        <v>7</v>
      </c>
      <c r="C1778" s="5"/>
      <c r="D1778" s="5"/>
      <c r="E1778" s="5"/>
      <c r="F1778" s="5"/>
      <c r="G1778" s="5"/>
      <c r="H1778" s="5"/>
      <c r="I1778" s="5"/>
      <c r="J1778" s="5"/>
      <c r="K1778" s="5"/>
      <c r="L1778" s="5"/>
      <c r="M1778" s="5"/>
      <c r="N1778" s="5"/>
      <c r="O1778" s="5"/>
      <c r="P1778" s="5"/>
      <c r="Q1778" s="5"/>
    </row>
    <row r="1779" spans="1:17" x14ac:dyDescent="0.25">
      <c r="A1779" s="5">
        <v>4.25</v>
      </c>
      <c r="B1779" s="5">
        <f>H1705</f>
        <v>9</v>
      </c>
      <c r="C1779" s="5"/>
      <c r="D1779" s="5"/>
      <c r="E1779" s="5"/>
      <c r="F1779" s="5"/>
      <c r="G1779" s="5"/>
      <c r="H1779" s="5"/>
      <c r="I1779" s="5"/>
      <c r="J1779" s="5"/>
      <c r="K1779" s="5"/>
      <c r="L1779" s="5"/>
      <c r="M1779" s="5"/>
      <c r="N1779" s="5"/>
      <c r="O1779" s="5"/>
      <c r="P1779" s="5"/>
      <c r="Q1779" s="5"/>
    </row>
    <row r="1780" spans="1:17" x14ac:dyDescent="0.25">
      <c r="A1780" s="5">
        <v>3.75</v>
      </c>
      <c r="B1780" s="5">
        <f>H1705</f>
        <v>9</v>
      </c>
      <c r="C1780" s="5"/>
      <c r="D1780" s="5"/>
      <c r="E1780" s="5"/>
      <c r="F1780" s="5"/>
      <c r="G1780" s="5"/>
      <c r="H1780" s="5"/>
      <c r="I1780" s="5"/>
      <c r="J1780" s="5"/>
      <c r="K1780" s="5"/>
      <c r="L1780" s="5"/>
      <c r="M1780" s="5"/>
      <c r="N1780" s="5"/>
      <c r="O1780" s="5"/>
      <c r="P1780" s="5"/>
      <c r="Q1780" s="5"/>
    </row>
    <row r="1781" spans="1:17" x14ac:dyDescent="0.25">
      <c r="A1781" s="5">
        <v>3.75</v>
      </c>
      <c r="B1781" s="5">
        <f>H1703</f>
        <v>7</v>
      </c>
      <c r="C1781" s="5"/>
      <c r="D1781" s="5"/>
      <c r="E1781" s="5"/>
      <c r="F1781" s="5"/>
      <c r="G1781" s="5"/>
      <c r="H1781" s="5"/>
      <c r="I1781" s="5"/>
      <c r="J1781" s="5"/>
      <c r="K1781" s="5"/>
      <c r="L1781" s="5"/>
      <c r="M1781" s="5"/>
      <c r="N1781" s="5"/>
      <c r="O1781" s="5"/>
      <c r="P1781" s="5"/>
      <c r="Q1781" s="5"/>
    </row>
    <row r="1782" spans="1:17" x14ac:dyDescent="0.25">
      <c r="A1782" s="5"/>
      <c r="B1782" s="5"/>
      <c r="C1782" s="5"/>
      <c r="D1782" s="5"/>
      <c r="E1782" s="5"/>
      <c r="F1782" s="5"/>
      <c r="G1782" s="5"/>
      <c r="H1782" s="5"/>
      <c r="I1782" s="5"/>
      <c r="J1782" s="5"/>
      <c r="K1782" s="5"/>
      <c r="L1782" s="5"/>
      <c r="M1782" s="5"/>
      <c r="N1782" s="5"/>
      <c r="O1782" s="5"/>
      <c r="P1782" s="5"/>
      <c r="Q1782" s="5"/>
    </row>
    <row r="1783" spans="1:17" x14ac:dyDescent="0.25">
      <c r="A1783" s="5">
        <v>3.75</v>
      </c>
      <c r="B1783" s="5">
        <f>H1704</f>
        <v>7</v>
      </c>
      <c r="C1783" s="5"/>
      <c r="D1783" s="5"/>
      <c r="E1783" s="5"/>
      <c r="F1783" s="5"/>
      <c r="G1783" s="5"/>
      <c r="H1783" s="5"/>
      <c r="I1783" s="5"/>
      <c r="J1783" s="5"/>
      <c r="K1783" s="5"/>
      <c r="L1783" s="5"/>
      <c r="M1783" s="5"/>
      <c r="N1783" s="5"/>
      <c r="O1783" s="5"/>
      <c r="P1783" s="5"/>
      <c r="Q1783" s="5"/>
    </row>
    <row r="1784" spans="1:17" x14ac:dyDescent="0.25">
      <c r="A1784" s="5">
        <v>4.25</v>
      </c>
      <c r="B1784" s="5">
        <f>H1704</f>
        <v>7</v>
      </c>
      <c r="C1784" s="5"/>
      <c r="D1784" s="5"/>
      <c r="E1784" s="5"/>
      <c r="F1784" s="5"/>
      <c r="G1784" s="5"/>
      <c r="H1784" s="5"/>
      <c r="I1784" s="5"/>
      <c r="J1784" s="5"/>
      <c r="K1784" s="5"/>
      <c r="L1784" s="5"/>
      <c r="M1784" s="5"/>
      <c r="N1784" s="5"/>
      <c r="O1784" s="5"/>
      <c r="P1784" s="5"/>
      <c r="Q1784" s="5"/>
    </row>
    <row r="1785" spans="1:17" x14ac:dyDescent="0.25">
      <c r="A1785" s="5"/>
      <c r="B1785" s="5"/>
      <c r="C1785" s="5"/>
      <c r="D1785" s="5"/>
      <c r="E1785" s="5"/>
      <c r="F1785" s="5"/>
      <c r="G1785" s="5"/>
      <c r="H1785" s="5"/>
      <c r="I1785" s="5"/>
      <c r="J1785" s="5"/>
      <c r="K1785" s="5"/>
      <c r="L1785" s="5"/>
      <c r="M1785" s="5"/>
      <c r="N1785" s="5"/>
      <c r="O1785" s="5"/>
      <c r="P1785" s="5"/>
      <c r="Q1785" s="5"/>
    </row>
    <row r="1786" spans="1:17" x14ac:dyDescent="0.25">
      <c r="A1786" s="5">
        <v>3.87</v>
      </c>
      <c r="B1786" s="5">
        <f>H1709</f>
        <v>4</v>
      </c>
      <c r="C1786" s="5"/>
      <c r="D1786" s="5"/>
      <c r="E1786" s="5"/>
      <c r="F1786" s="5"/>
      <c r="G1786" s="5"/>
      <c r="H1786" s="5"/>
      <c r="I1786" s="5"/>
      <c r="J1786" s="5"/>
      <c r="K1786" s="5"/>
      <c r="L1786" s="5"/>
      <c r="M1786" s="5"/>
      <c r="N1786" s="5"/>
      <c r="O1786" s="5"/>
      <c r="P1786" s="5"/>
      <c r="Q1786" s="5"/>
    </row>
    <row r="1787" spans="1:17" x14ac:dyDescent="0.25">
      <c r="A1787" s="5">
        <v>4.13</v>
      </c>
      <c r="B1787" s="5">
        <f>H1709</f>
        <v>4</v>
      </c>
      <c r="C1787" s="5"/>
      <c r="D1787" s="5"/>
      <c r="E1787" s="5"/>
      <c r="F1787" s="5"/>
      <c r="G1787" s="5"/>
      <c r="H1787" s="5"/>
      <c r="I1787" s="5"/>
      <c r="J1787" s="5"/>
      <c r="K1787" s="5"/>
      <c r="L1787" s="5"/>
      <c r="M1787" s="5"/>
      <c r="N1787" s="5"/>
      <c r="O1787" s="5"/>
      <c r="P1787" s="5"/>
      <c r="Q1787" s="5"/>
    </row>
    <row r="1788" spans="1:17" x14ac:dyDescent="0.25">
      <c r="A1788" s="5">
        <v>4</v>
      </c>
      <c r="B1788" s="5">
        <f>H1709</f>
        <v>4</v>
      </c>
      <c r="C1788" s="5"/>
      <c r="D1788" s="5"/>
      <c r="E1788" s="5"/>
      <c r="F1788" s="5"/>
      <c r="G1788" s="5"/>
      <c r="H1788" s="5"/>
      <c r="I1788" s="5"/>
      <c r="J1788" s="5"/>
      <c r="K1788" s="5"/>
      <c r="L1788" s="5"/>
      <c r="M1788" s="5"/>
      <c r="N1788" s="5"/>
      <c r="O1788" s="5"/>
      <c r="P1788" s="5"/>
      <c r="Q1788" s="5"/>
    </row>
    <row r="1789" spans="1:17" x14ac:dyDescent="0.25">
      <c r="A1789" s="5">
        <v>4</v>
      </c>
      <c r="B1789" s="5">
        <f>H1703</f>
        <v>7</v>
      </c>
      <c r="C1789" s="5"/>
      <c r="D1789" s="5"/>
      <c r="E1789" s="5"/>
      <c r="F1789" s="5"/>
      <c r="G1789" s="5"/>
      <c r="H1789" s="5"/>
      <c r="I1789" s="5"/>
      <c r="J1789" s="5"/>
      <c r="K1789" s="5"/>
      <c r="L1789" s="5"/>
      <c r="M1789" s="5"/>
      <c r="N1789" s="5"/>
      <c r="O1789" s="5"/>
      <c r="P1789" s="5"/>
      <c r="Q1789" s="5"/>
    </row>
    <row r="1790" spans="1:17" x14ac:dyDescent="0.25">
      <c r="A1790" s="5"/>
      <c r="B1790" s="5"/>
      <c r="C1790" s="5"/>
      <c r="D1790" s="5"/>
      <c r="E1790" s="5"/>
      <c r="F1790" s="5"/>
      <c r="G1790" s="5"/>
      <c r="H1790" s="5"/>
      <c r="I1790" s="5"/>
      <c r="J1790" s="5"/>
      <c r="K1790" s="5"/>
      <c r="L1790" s="5"/>
      <c r="M1790" s="5"/>
      <c r="N1790" s="5"/>
      <c r="O1790" s="5"/>
      <c r="P1790" s="5"/>
      <c r="Q1790" s="5"/>
    </row>
    <row r="1791" spans="1:17" x14ac:dyDescent="0.25">
      <c r="A1791" s="5">
        <v>4</v>
      </c>
      <c r="B1791" s="5">
        <f>H1705</f>
        <v>9</v>
      </c>
      <c r="C1791" s="5"/>
      <c r="D1791" s="5"/>
      <c r="E1791" s="5"/>
      <c r="F1791" s="5"/>
      <c r="G1791" s="5"/>
      <c r="H1791" s="5"/>
      <c r="I1791" s="5"/>
      <c r="J1791" s="5"/>
      <c r="K1791" s="5"/>
      <c r="L1791" s="5"/>
      <c r="M1791" s="5"/>
      <c r="N1791" s="5"/>
      <c r="O1791" s="5"/>
      <c r="P1791" s="5"/>
      <c r="Q1791" s="5"/>
    </row>
    <row r="1792" spans="1:17" x14ac:dyDescent="0.25">
      <c r="A1792" s="5">
        <v>4</v>
      </c>
      <c r="B1792" s="5">
        <f>H1710</f>
        <v>10</v>
      </c>
      <c r="C1792" s="5"/>
      <c r="D1792" s="5"/>
      <c r="E1792" s="5"/>
      <c r="F1792" s="5"/>
      <c r="G1792" s="5"/>
      <c r="H1792" s="5"/>
      <c r="I1792" s="5"/>
      <c r="J1792" s="5"/>
      <c r="K1792" s="5"/>
      <c r="L1792" s="5"/>
      <c r="M1792" s="5"/>
      <c r="N1792" s="5"/>
      <c r="O1792" s="5"/>
      <c r="P1792" s="5"/>
      <c r="Q1792" s="5"/>
    </row>
    <row r="1793" spans="1:17" x14ac:dyDescent="0.25">
      <c r="A1793" s="5">
        <v>3.87</v>
      </c>
      <c r="B1793" s="5">
        <f>H1710</f>
        <v>10</v>
      </c>
      <c r="C1793" s="5"/>
      <c r="D1793" s="5"/>
      <c r="E1793" s="5"/>
      <c r="F1793" s="5"/>
      <c r="G1793" s="5"/>
      <c r="H1793" s="5"/>
      <c r="I1793" s="5"/>
      <c r="J1793" s="5"/>
      <c r="K1793" s="5"/>
      <c r="L1793" s="5"/>
      <c r="M1793" s="5"/>
      <c r="N1793" s="5"/>
      <c r="O1793" s="5"/>
      <c r="P1793" s="5"/>
      <c r="Q1793" s="5"/>
    </row>
    <row r="1794" spans="1:17" x14ac:dyDescent="0.25">
      <c r="A1794" s="5">
        <v>4.13</v>
      </c>
      <c r="B1794" s="5">
        <f>H1710</f>
        <v>10</v>
      </c>
      <c r="C1794" s="5"/>
      <c r="D1794" s="5"/>
      <c r="E1794" s="5"/>
      <c r="F1794" s="5"/>
      <c r="G1794" s="5"/>
      <c r="H1794" s="5"/>
      <c r="I1794" s="5"/>
      <c r="J1794" s="5"/>
      <c r="K1794" s="5"/>
      <c r="L1794" s="5"/>
      <c r="M1794" s="5"/>
      <c r="N1794" s="5"/>
      <c r="O1794" s="5"/>
      <c r="P1794" s="5"/>
      <c r="Q1794" s="5"/>
    </row>
    <row r="1795" spans="1:17" x14ac:dyDescent="0.25">
      <c r="A1795" s="5"/>
      <c r="B1795" s="5"/>
      <c r="C1795" s="5"/>
      <c r="D1795" s="5"/>
      <c r="E1795" s="5"/>
      <c r="F1795" s="5"/>
      <c r="G1795" s="5"/>
      <c r="H1795" s="5"/>
      <c r="I1795" s="5"/>
      <c r="J1795" s="5"/>
      <c r="K1795" s="5"/>
      <c r="L1795" s="5"/>
      <c r="M1795" s="5"/>
      <c r="N1795" s="5"/>
      <c r="O1795" s="5"/>
      <c r="P1795" s="5"/>
      <c r="Q1795" s="5"/>
    </row>
    <row r="1796" spans="1:17" x14ac:dyDescent="0.25">
      <c r="A1796" s="5">
        <v>4.75</v>
      </c>
      <c r="B1796" s="5">
        <f>I1703</f>
        <v>6</v>
      </c>
      <c r="C1796" s="5"/>
      <c r="D1796" s="5"/>
      <c r="E1796" s="5"/>
      <c r="F1796" s="5"/>
      <c r="G1796" s="5"/>
      <c r="H1796" s="5"/>
      <c r="I1796" s="5"/>
      <c r="J1796" s="5"/>
      <c r="K1796" s="5"/>
      <c r="L1796" s="5"/>
      <c r="M1796" s="5"/>
      <c r="N1796" s="5"/>
      <c r="O1796" s="5"/>
      <c r="P1796" s="5"/>
      <c r="Q1796" s="5"/>
    </row>
    <row r="1797" spans="1:17" x14ac:dyDescent="0.25">
      <c r="A1797" s="5">
        <v>5.25</v>
      </c>
      <c r="B1797" s="5">
        <f>I1703</f>
        <v>6</v>
      </c>
      <c r="C1797" s="5"/>
      <c r="D1797" s="5"/>
      <c r="E1797" s="5"/>
      <c r="F1797" s="5"/>
      <c r="G1797" s="5"/>
      <c r="H1797" s="5"/>
      <c r="I1797" s="5"/>
      <c r="J1797" s="5"/>
      <c r="K1797" s="5"/>
      <c r="L1797" s="5"/>
      <c r="M1797" s="5"/>
      <c r="N1797" s="5"/>
      <c r="O1797" s="5"/>
      <c r="P1797" s="5"/>
      <c r="Q1797" s="5"/>
    </row>
    <row r="1798" spans="1:17" x14ac:dyDescent="0.25">
      <c r="A1798" s="5">
        <v>5.25</v>
      </c>
      <c r="B1798" s="5">
        <f>I1705</f>
        <v>7</v>
      </c>
      <c r="C1798" s="5"/>
      <c r="D1798" s="5"/>
      <c r="E1798" s="5"/>
      <c r="F1798" s="5"/>
      <c r="G1798" s="5"/>
      <c r="H1798" s="5"/>
      <c r="I1798" s="5"/>
      <c r="J1798" s="5"/>
      <c r="K1798" s="5"/>
      <c r="L1798" s="5"/>
      <c r="M1798" s="5"/>
      <c r="N1798" s="5"/>
      <c r="O1798" s="5"/>
      <c r="P1798" s="5"/>
      <c r="Q1798" s="5"/>
    </row>
    <row r="1799" spans="1:17" x14ac:dyDescent="0.25">
      <c r="A1799" s="5">
        <v>4.75</v>
      </c>
      <c r="B1799" s="5">
        <f>I1705</f>
        <v>7</v>
      </c>
      <c r="C1799" s="5"/>
      <c r="D1799" s="5"/>
      <c r="E1799" s="5"/>
      <c r="F1799" s="5"/>
      <c r="G1799" s="5"/>
      <c r="H1799" s="5"/>
      <c r="I1799" s="5"/>
      <c r="J1799" s="5"/>
      <c r="K1799" s="5"/>
      <c r="L1799" s="5"/>
      <c r="M1799" s="5"/>
      <c r="N1799" s="5"/>
      <c r="O1799" s="5"/>
      <c r="P1799" s="5"/>
      <c r="Q1799" s="5"/>
    </row>
    <row r="1800" spans="1:17" x14ac:dyDescent="0.25">
      <c r="A1800" s="5">
        <v>4.75</v>
      </c>
      <c r="B1800" s="5">
        <f>I1703</f>
        <v>6</v>
      </c>
      <c r="C1800" s="5"/>
      <c r="D1800" s="5"/>
      <c r="E1800" s="5"/>
      <c r="F1800" s="5"/>
      <c r="G1800" s="5"/>
      <c r="H1800" s="5"/>
      <c r="I1800" s="5"/>
      <c r="J1800" s="5"/>
      <c r="K1800" s="5"/>
      <c r="L1800" s="5"/>
      <c r="M1800" s="5"/>
      <c r="N1800" s="5"/>
      <c r="O1800" s="5"/>
      <c r="P1800" s="5"/>
      <c r="Q1800" s="5"/>
    </row>
    <row r="1801" spans="1:17" x14ac:dyDescent="0.25">
      <c r="A1801" s="5"/>
      <c r="B1801" s="5"/>
      <c r="C1801" s="5"/>
      <c r="D1801" s="5"/>
      <c r="E1801" s="5"/>
      <c r="F1801" s="5"/>
      <c r="G1801" s="5"/>
      <c r="H1801" s="5"/>
      <c r="I1801" s="5"/>
      <c r="J1801" s="5"/>
      <c r="K1801" s="5"/>
      <c r="L1801" s="5"/>
      <c r="M1801" s="5"/>
      <c r="N1801" s="5"/>
      <c r="O1801" s="5"/>
      <c r="P1801" s="5"/>
      <c r="Q1801" s="5"/>
    </row>
    <row r="1802" spans="1:17" x14ac:dyDescent="0.25">
      <c r="A1802" s="5">
        <v>4.75</v>
      </c>
      <c r="B1802" s="5">
        <f>I1704</f>
        <v>6.5</v>
      </c>
      <c r="C1802" s="5"/>
      <c r="D1802" s="5"/>
      <c r="E1802" s="5"/>
      <c r="F1802" s="5"/>
      <c r="G1802" s="5"/>
      <c r="H1802" s="5"/>
      <c r="I1802" s="5"/>
      <c r="J1802" s="5"/>
      <c r="K1802" s="5"/>
      <c r="L1802" s="5"/>
      <c r="M1802" s="5"/>
      <c r="N1802" s="5"/>
      <c r="O1802" s="5"/>
      <c r="P1802" s="5"/>
      <c r="Q1802" s="5"/>
    </row>
    <row r="1803" spans="1:17" x14ac:dyDescent="0.25">
      <c r="A1803" s="5">
        <v>5.25</v>
      </c>
      <c r="B1803" s="5">
        <f>I1704</f>
        <v>6.5</v>
      </c>
      <c r="C1803" s="5"/>
      <c r="D1803" s="5"/>
      <c r="E1803" s="5"/>
      <c r="F1803" s="5"/>
      <c r="G1803" s="5"/>
      <c r="H1803" s="5"/>
      <c r="I1803" s="5"/>
      <c r="J1803" s="5"/>
      <c r="K1803" s="5"/>
      <c r="L1803" s="5"/>
      <c r="M1803" s="5"/>
      <c r="N1803" s="5"/>
      <c r="O1803" s="5"/>
      <c r="P1803" s="5"/>
      <c r="Q1803" s="5"/>
    </row>
    <row r="1804" spans="1:17" x14ac:dyDescent="0.25">
      <c r="A1804" s="5"/>
      <c r="B1804" s="5"/>
      <c r="C1804" s="5"/>
      <c r="D1804" s="5"/>
      <c r="E1804" s="5"/>
      <c r="F1804" s="5"/>
      <c r="G1804" s="5"/>
      <c r="H1804" s="5"/>
      <c r="I1804" s="5"/>
      <c r="J1804" s="5"/>
      <c r="K1804" s="5"/>
      <c r="L1804" s="5"/>
      <c r="M1804" s="5"/>
      <c r="N1804" s="5"/>
      <c r="O1804" s="5"/>
      <c r="P1804" s="5"/>
      <c r="Q1804" s="5"/>
    </row>
    <row r="1805" spans="1:17" x14ac:dyDescent="0.25">
      <c r="A1805" s="5">
        <v>4.87</v>
      </c>
      <c r="B1805" s="5">
        <f>I1709</f>
        <v>5</v>
      </c>
      <c r="C1805" s="5"/>
      <c r="D1805" s="5"/>
      <c r="E1805" s="5"/>
      <c r="F1805" s="5"/>
      <c r="G1805" s="5"/>
      <c r="H1805" s="5"/>
      <c r="I1805" s="5"/>
      <c r="J1805" s="5"/>
      <c r="K1805" s="5"/>
      <c r="L1805" s="5"/>
      <c r="M1805" s="5"/>
      <c r="N1805" s="5"/>
      <c r="O1805" s="5"/>
      <c r="P1805" s="5"/>
      <c r="Q1805" s="5"/>
    </row>
    <row r="1806" spans="1:17" x14ac:dyDescent="0.25">
      <c r="A1806" s="5">
        <v>5.13</v>
      </c>
      <c r="B1806" s="5">
        <f>I1709</f>
        <v>5</v>
      </c>
      <c r="C1806" s="5"/>
      <c r="D1806" s="5"/>
      <c r="E1806" s="5"/>
      <c r="F1806" s="5"/>
      <c r="G1806" s="5"/>
      <c r="H1806" s="5"/>
      <c r="I1806" s="5"/>
      <c r="J1806" s="5"/>
      <c r="K1806" s="5"/>
      <c r="L1806" s="5"/>
      <c r="M1806" s="5"/>
      <c r="N1806" s="5"/>
      <c r="O1806" s="5"/>
      <c r="P1806" s="5"/>
      <c r="Q1806" s="5"/>
    </row>
    <row r="1807" spans="1:17" x14ac:dyDescent="0.25">
      <c r="A1807" s="5">
        <v>5</v>
      </c>
      <c r="B1807" s="5">
        <f>I1709</f>
        <v>5</v>
      </c>
      <c r="C1807" s="5"/>
      <c r="D1807" s="5"/>
      <c r="E1807" s="5"/>
      <c r="F1807" s="5"/>
      <c r="G1807" s="5"/>
      <c r="H1807" s="5"/>
      <c r="I1807" s="5"/>
      <c r="J1807" s="5"/>
      <c r="K1807" s="5"/>
      <c r="L1807" s="5"/>
      <c r="M1807" s="5"/>
      <c r="N1807" s="5"/>
      <c r="O1807" s="5"/>
      <c r="P1807" s="5"/>
      <c r="Q1807" s="5"/>
    </row>
    <row r="1808" spans="1:17" x14ac:dyDescent="0.25">
      <c r="A1808" s="5">
        <v>5</v>
      </c>
      <c r="B1808" s="5">
        <f>I1703</f>
        <v>6</v>
      </c>
      <c r="C1808" s="5"/>
      <c r="D1808" s="5"/>
      <c r="E1808" s="5"/>
      <c r="F1808" s="5"/>
      <c r="G1808" s="5"/>
      <c r="H1808" s="5"/>
      <c r="I1808" s="5"/>
      <c r="J1808" s="5"/>
      <c r="K1808" s="5"/>
      <c r="L1808" s="5"/>
      <c r="M1808" s="5"/>
      <c r="N1808" s="5"/>
      <c r="O1808" s="5"/>
      <c r="P1808" s="5"/>
      <c r="Q1808" s="5"/>
    </row>
    <row r="1809" spans="1:17" x14ac:dyDescent="0.25">
      <c r="A1809" s="5"/>
      <c r="B1809" s="5"/>
      <c r="C1809" s="5"/>
      <c r="D1809" s="5"/>
      <c r="E1809" s="5"/>
      <c r="F1809" s="5"/>
      <c r="G1809" s="5"/>
      <c r="H1809" s="5"/>
      <c r="I1809" s="5"/>
      <c r="J1809" s="5"/>
      <c r="K1809" s="5"/>
      <c r="L1809" s="5"/>
      <c r="M1809" s="5"/>
      <c r="N1809" s="5"/>
      <c r="O1809" s="5"/>
      <c r="P1809" s="5"/>
      <c r="Q1809" s="5"/>
    </row>
    <row r="1810" spans="1:17" x14ac:dyDescent="0.25">
      <c r="A1810" s="5">
        <v>5</v>
      </c>
      <c r="B1810" s="5">
        <f>I1705</f>
        <v>7</v>
      </c>
      <c r="C1810" s="5"/>
      <c r="D1810" s="5"/>
      <c r="E1810" s="5"/>
      <c r="F1810" s="5"/>
      <c r="G1810" s="5"/>
      <c r="H1810" s="5"/>
      <c r="I1810" s="5"/>
      <c r="J1810" s="5"/>
      <c r="K1810" s="5"/>
      <c r="L1810" s="5"/>
      <c r="M1810" s="5"/>
      <c r="N1810" s="5"/>
      <c r="O1810" s="5"/>
      <c r="P1810" s="5"/>
      <c r="Q1810" s="5"/>
    </row>
    <row r="1811" spans="1:17" x14ac:dyDescent="0.25">
      <c r="A1811" s="5">
        <v>5</v>
      </c>
      <c r="B1811" s="5">
        <f>I1710</f>
        <v>7</v>
      </c>
      <c r="C1811" s="5"/>
      <c r="D1811" s="5"/>
      <c r="E1811" s="5"/>
      <c r="F1811" s="5"/>
      <c r="G1811" s="5"/>
      <c r="H1811" s="5"/>
      <c r="I1811" s="5"/>
      <c r="J1811" s="5"/>
      <c r="K1811" s="5"/>
      <c r="L1811" s="5"/>
      <c r="M1811" s="5"/>
      <c r="N1811" s="5"/>
      <c r="O1811" s="5"/>
      <c r="P1811" s="5"/>
      <c r="Q1811" s="5"/>
    </row>
    <row r="1812" spans="1:17" x14ac:dyDescent="0.25">
      <c r="A1812" s="5">
        <v>4.87</v>
      </c>
      <c r="B1812" s="5">
        <f>I1710</f>
        <v>7</v>
      </c>
      <c r="C1812" s="5"/>
      <c r="D1812" s="5"/>
      <c r="E1812" s="5"/>
      <c r="F1812" s="5"/>
      <c r="G1812" s="5"/>
      <c r="H1812" s="5"/>
      <c r="I1812" s="5"/>
      <c r="J1812" s="5"/>
      <c r="K1812" s="5"/>
      <c r="L1812" s="5"/>
      <c r="M1812" s="5"/>
      <c r="N1812" s="5"/>
      <c r="O1812" s="5"/>
      <c r="P1812" s="5"/>
      <c r="Q1812" s="5"/>
    </row>
    <row r="1813" spans="1:17" x14ac:dyDescent="0.25">
      <c r="A1813" s="5">
        <v>5.13</v>
      </c>
      <c r="B1813" s="5">
        <f>I1710</f>
        <v>7</v>
      </c>
      <c r="C1813" s="5"/>
      <c r="D1813" s="5"/>
      <c r="E1813" s="5"/>
      <c r="F1813" s="5"/>
      <c r="G1813" s="5"/>
      <c r="H1813" s="5"/>
      <c r="I1813" s="5"/>
      <c r="J1813" s="5"/>
      <c r="K1813" s="5"/>
      <c r="L1813" s="5"/>
      <c r="M1813" s="5"/>
      <c r="N1813" s="5"/>
      <c r="O1813" s="5"/>
      <c r="P1813" s="5"/>
      <c r="Q1813" s="5"/>
    </row>
    <row r="1814" spans="1:17" x14ac:dyDescent="0.25">
      <c r="A1814" s="5"/>
      <c r="B1814" s="5"/>
      <c r="C1814" s="5"/>
      <c r="D1814" s="5"/>
      <c r="E1814" s="5"/>
      <c r="F1814" s="5"/>
      <c r="G1814" s="5"/>
      <c r="H1814" s="5"/>
      <c r="I1814" s="5"/>
      <c r="J1814" s="5"/>
      <c r="K1814" s="5"/>
      <c r="L1814" s="5"/>
      <c r="M1814" s="5"/>
      <c r="N1814" s="5"/>
      <c r="O1814" s="5"/>
      <c r="P1814" s="5"/>
      <c r="Q1814" s="5"/>
    </row>
    <row r="1815" spans="1:17" x14ac:dyDescent="0.25">
      <c r="A1815" s="5"/>
      <c r="B1815" s="5"/>
      <c r="C1815" s="5"/>
      <c r="D1815" s="5"/>
      <c r="E1815" s="5"/>
      <c r="F1815" s="5"/>
      <c r="G1815" s="5"/>
      <c r="H1815" s="5"/>
      <c r="I1815" s="5"/>
      <c r="J1815" s="5"/>
      <c r="K1815" s="5"/>
      <c r="L1815" s="5"/>
      <c r="M1815" s="5"/>
      <c r="N1815" s="5"/>
      <c r="O1815" s="5"/>
      <c r="P1815" s="5"/>
      <c r="Q1815" s="5"/>
    </row>
    <row r="1816" spans="1:17" x14ac:dyDescent="0.25">
      <c r="A1816" s="5"/>
      <c r="B1816" s="5"/>
      <c r="C1816" s="5"/>
      <c r="D1816" s="5"/>
      <c r="E1816" s="5"/>
      <c r="F1816" s="5"/>
      <c r="G1816" s="5"/>
      <c r="H1816" s="5"/>
      <c r="I1816" s="5"/>
      <c r="J1816" s="5"/>
      <c r="K1816" s="5"/>
      <c r="L1816" s="5"/>
      <c r="M1816" s="5"/>
      <c r="N1816" s="5"/>
      <c r="O1816" s="5"/>
      <c r="P1816" s="5"/>
      <c r="Q1816" s="5"/>
    </row>
    <row r="1817" spans="1:17" x14ac:dyDescent="0.25">
      <c r="A1817" s="5"/>
      <c r="B1817" s="5"/>
      <c r="C1817" s="5"/>
      <c r="D1817" s="5"/>
      <c r="E1817" s="5"/>
      <c r="F1817" s="5"/>
      <c r="G1817" s="5"/>
      <c r="H1817" s="5"/>
      <c r="I1817" s="5"/>
      <c r="J1817" s="5"/>
      <c r="K1817" s="5"/>
      <c r="L1817" s="5"/>
      <c r="M1817" s="5"/>
      <c r="N1817" s="5"/>
      <c r="O1817" s="5"/>
      <c r="P1817" s="5"/>
      <c r="Q1817" s="5"/>
    </row>
    <row r="1818" spans="1:17" x14ac:dyDescent="0.25">
      <c r="A1818" s="5"/>
      <c r="B1818" s="5"/>
      <c r="C1818" s="5"/>
      <c r="D1818" s="5"/>
      <c r="E1818" s="5"/>
      <c r="F1818" s="5"/>
      <c r="G1818" s="5"/>
      <c r="H1818" s="5"/>
      <c r="I1818" s="5"/>
      <c r="J1818" s="5"/>
      <c r="K1818" s="5"/>
      <c r="L1818" s="5"/>
      <c r="M1818" s="5"/>
      <c r="N1818" s="5"/>
      <c r="O1818" s="5"/>
      <c r="P1818" s="5"/>
      <c r="Q1818" s="5"/>
    </row>
    <row r="1819" spans="1:17" x14ac:dyDescent="0.25">
      <c r="A1819" s="5"/>
      <c r="B1819" s="5"/>
      <c r="C1819" s="5"/>
      <c r="D1819" s="5"/>
      <c r="E1819" s="5"/>
      <c r="F1819" s="5"/>
      <c r="G1819" s="5"/>
      <c r="H1819" s="5"/>
      <c r="I1819" s="5"/>
      <c r="J1819" s="5"/>
      <c r="K1819" s="5"/>
      <c r="L1819" s="5"/>
      <c r="M1819" s="5"/>
      <c r="N1819" s="5"/>
      <c r="O1819" s="5"/>
      <c r="P1819" s="5"/>
      <c r="Q1819" s="5"/>
    </row>
    <row r="1820" spans="1:17" x14ac:dyDescent="0.25">
      <c r="A1820" s="5"/>
      <c r="B1820" s="5"/>
      <c r="C1820" s="5"/>
      <c r="D1820" s="5"/>
      <c r="E1820" s="5"/>
      <c r="F1820" s="5"/>
      <c r="G1820" s="5"/>
      <c r="H1820" s="5"/>
      <c r="I1820" s="5"/>
      <c r="J1820" s="5"/>
      <c r="K1820" s="5"/>
      <c r="L1820" s="5"/>
      <c r="M1820" s="5"/>
      <c r="N1820" s="5"/>
      <c r="O1820" s="5"/>
      <c r="P1820" s="5"/>
      <c r="Q1820" s="5"/>
    </row>
    <row r="1821" spans="1:17" x14ac:dyDescent="0.25">
      <c r="A1821" s="5"/>
      <c r="B1821" s="5"/>
      <c r="C1821" s="5"/>
      <c r="D1821" s="5"/>
      <c r="E1821" s="5"/>
      <c r="F1821" s="5"/>
      <c r="G1821" s="5"/>
      <c r="H1821" s="5"/>
      <c r="I1821" s="5"/>
      <c r="J1821" s="5"/>
      <c r="K1821" s="5"/>
      <c r="L1821" s="5"/>
      <c r="M1821" s="5"/>
      <c r="N1821" s="5"/>
      <c r="O1821" s="5"/>
      <c r="P1821" s="5"/>
      <c r="Q1821" s="5"/>
    </row>
    <row r="1822" spans="1:17" x14ac:dyDescent="0.25">
      <c r="A1822" s="5"/>
      <c r="B1822" s="5"/>
      <c r="C1822" s="5"/>
      <c r="D1822" s="5"/>
      <c r="E1822" s="5"/>
      <c r="F1822" s="5"/>
      <c r="G1822" s="5"/>
      <c r="H1822" s="5"/>
      <c r="I1822" s="5"/>
      <c r="J1822" s="5"/>
      <c r="K1822" s="5"/>
      <c r="L1822" s="5"/>
      <c r="M1822" s="5"/>
      <c r="N1822" s="5"/>
      <c r="O1822" s="5"/>
      <c r="P1822" s="5"/>
      <c r="Q1822" s="5"/>
    </row>
    <row r="1823" spans="1:17" x14ac:dyDescent="0.25">
      <c r="A1823" s="5"/>
      <c r="B1823" s="5"/>
      <c r="C1823" s="5"/>
      <c r="D1823" s="5"/>
      <c r="E1823" s="5"/>
      <c r="F1823" s="5"/>
      <c r="G1823" s="5"/>
      <c r="H1823" s="5"/>
      <c r="I1823" s="5"/>
      <c r="J1823" s="5"/>
      <c r="K1823" s="5"/>
      <c r="L1823" s="5"/>
      <c r="M1823" s="5"/>
      <c r="N1823" s="5"/>
      <c r="O1823" s="5"/>
      <c r="P1823" s="5"/>
      <c r="Q1823" s="5"/>
    </row>
    <row r="1824" spans="1:17" x14ac:dyDescent="0.25">
      <c r="A1824" s="5"/>
      <c r="B1824" s="5"/>
      <c r="C1824" s="5"/>
      <c r="D1824" s="5"/>
      <c r="E1824" s="5"/>
      <c r="F1824" s="5"/>
      <c r="G1824" s="5"/>
      <c r="H1824" s="5"/>
      <c r="I1824" s="5"/>
      <c r="J1824" s="5"/>
      <c r="K1824" s="5"/>
      <c r="L1824" s="5"/>
      <c r="M1824" s="5"/>
      <c r="N1824" s="5"/>
      <c r="O1824" s="5"/>
      <c r="P1824" s="5"/>
      <c r="Q1824" s="5"/>
    </row>
    <row r="1825" spans="1:17" x14ac:dyDescent="0.25">
      <c r="A1825" s="5"/>
      <c r="B1825" s="5"/>
      <c r="C1825" s="5"/>
      <c r="D1825" s="5"/>
      <c r="E1825" s="5"/>
      <c r="F1825" s="5"/>
      <c r="G1825" s="5"/>
      <c r="H1825" s="5"/>
      <c r="I1825" s="5"/>
      <c r="J1825" s="5"/>
      <c r="K1825" s="5"/>
      <c r="L1825" s="5"/>
      <c r="M1825" s="5"/>
      <c r="N1825" s="5"/>
      <c r="O1825" s="5"/>
      <c r="P1825" s="5"/>
      <c r="Q1825" s="5"/>
    </row>
    <row r="1826" spans="1:17" x14ac:dyDescent="0.25">
      <c r="A1826" s="5"/>
      <c r="B1826" s="5"/>
      <c r="C1826" s="5"/>
      <c r="D1826" s="5"/>
      <c r="E1826" s="5"/>
      <c r="F1826" s="5"/>
      <c r="G1826" s="5"/>
      <c r="H1826" s="5"/>
      <c r="I1826" s="5"/>
      <c r="J1826" s="5"/>
      <c r="K1826" s="5"/>
      <c r="L1826" s="5"/>
      <c r="M1826" s="5"/>
      <c r="N1826" s="5"/>
      <c r="O1826" s="5"/>
      <c r="P1826" s="5"/>
      <c r="Q1826" s="5"/>
    </row>
    <row r="1827" spans="1:17" x14ac:dyDescent="0.25">
      <c r="A1827" s="5"/>
      <c r="B1827" s="5"/>
      <c r="C1827" s="5"/>
      <c r="D1827" s="5"/>
      <c r="E1827" s="5"/>
      <c r="F1827" s="5"/>
      <c r="G1827" s="5"/>
      <c r="H1827" s="5"/>
      <c r="I1827" s="5"/>
      <c r="J1827" s="5"/>
      <c r="K1827" s="5"/>
      <c r="L1827" s="5"/>
      <c r="M1827" s="5"/>
      <c r="N1827" s="5"/>
      <c r="O1827" s="5"/>
      <c r="P1827" s="5"/>
      <c r="Q1827" s="5"/>
    </row>
    <row r="1828" spans="1:17" x14ac:dyDescent="0.25">
      <c r="A1828" s="5"/>
      <c r="B1828" s="5"/>
      <c r="C1828" s="5"/>
      <c r="D1828" s="5"/>
      <c r="E1828" s="5"/>
      <c r="F1828" s="5"/>
      <c r="G1828" s="5"/>
      <c r="H1828" s="5"/>
      <c r="I1828" s="5"/>
      <c r="J1828" s="5"/>
      <c r="K1828" s="5"/>
      <c r="L1828" s="5"/>
      <c r="M1828" s="5"/>
      <c r="N1828" s="5"/>
      <c r="O1828" s="5"/>
      <c r="P1828" s="5"/>
      <c r="Q1828" s="5"/>
    </row>
    <row r="1829" spans="1:17" x14ac:dyDescent="0.25">
      <c r="A1829" s="5"/>
      <c r="B1829" s="5"/>
      <c r="C1829" s="5"/>
      <c r="D1829" s="5"/>
      <c r="E1829" s="5"/>
      <c r="F1829" s="5"/>
      <c r="G1829" s="5"/>
      <c r="H1829" s="5"/>
      <c r="I1829" s="5"/>
      <c r="J1829" s="5"/>
      <c r="K1829" s="5"/>
      <c r="L1829" s="5"/>
      <c r="M1829" s="5"/>
      <c r="N1829" s="5"/>
      <c r="O1829" s="5"/>
      <c r="P1829" s="5"/>
      <c r="Q1829" s="5"/>
    </row>
    <row r="1830" spans="1:17" x14ac:dyDescent="0.25">
      <c r="A1830" s="5"/>
      <c r="B1830" s="5"/>
      <c r="C1830" s="5"/>
      <c r="D1830" s="5"/>
      <c r="E1830" s="5"/>
      <c r="F1830" s="5"/>
      <c r="G1830" s="5"/>
      <c r="H1830" s="5"/>
      <c r="I1830" s="5"/>
      <c r="J1830" s="5"/>
      <c r="K1830" s="5"/>
      <c r="L1830" s="5"/>
      <c r="M1830" s="5"/>
      <c r="N1830" s="5"/>
      <c r="O1830" s="5"/>
      <c r="P1830" s="5"/>
      <c r="Q1830" s="5"/>
    </row>
    <row r="1831" spans="1:17" x14ac:dyDescent="0.25">
      <c r="A1831" s="5"/>
      <c r="B1831" s="5"/>
      <c r="C1831" s="5"/>
      <c r="D1831" s="5"/>
      <c r="E1831" s="5"/>
      <c r="F1831" s="5"/>
      <c r="G1831" s="5"/>
      <c r="H1831" s="5"/>
      <c r="I1831" s="5"/>
      <c r="J1831" s="5"/>
      <c r="K1831" s="5"/>
      <c r="L1831" s="5"/>
      <c r="M1831" s="5"/>
      <c r="N1831" s="5"/>
      <c r="O1831" s="5"/>
      <c r="P1831" s="5"/>
      <c r="Q1831" s="5"/>
    </row>
    <row r="1832" spans="1:17" x14ac:dyDescent="0.25">
      <c r="A1832" s="5"/>
      <c r="B1832" s="5"/>
      <c r="C1832" s="5"/>
      <c r="D1832" s="5"/>
      <c r="E1832" s="5"/>
      <c r="F1832" s="5"/>
      <c r="G1832" s="5"/>
      <c r="H1832" s="5"/>
      <c r="I1832" s="5"/>
      <c r="J1832" s="5"/>
      <c r="K1832" s="5"/>
      <c r="L1832" s="5"/>
      <c r="M1832" s="5"/>
      <c r="N1832" s="5"/>
      <c r="O1832" s="5"/>
      <c r="P1832" s="5"/>
      <c r="Q1832" s="5"/>
    </row>
    <row r="1833" spans="1:17" x14ac:dyDescent="0.25">
      <c r="A1833" s="5"/>
      <c r="B1833" s="5"/>
      <c r="C1833" s="5"/>
      <c r="D1833" s="5"/>
      <c r="E1833" s="5"/>
      <c r="F1833" s="5"/>
      <c r="G1833" s="5"/>
      <c r="H1833" s="5"/>
      <c r="I1833" s="5"/>
      <c r="J1833" s="5"/>
      <c r="K1833" s="5"/>
      <c r="L1833" s="5"/>
      <c r="M1833" s="5"/>
      <c r="N1833" s="5"/>
      <c r="O1833" s="5"/>
      <c r="P1833" s="5"/>
      <c r="Q1833" s="5"/>
    </row>
    <row r="1834" spans="1:17" x14ac:dyDescent="0.25">
      <c r="A1834" s="5"/>
      <c r="B1834" s="5"/>
      <c r="C1834" s="5"/>
      <c r="D1834" s="5"/>
      <c r="E1834" s="5"/>
      <c r="F1834" s="5"/>
      <c r="G1834" s="5"/>
      <c r="H1834" s="5"/>
      <c r="I1834" s="5"/>
      <c r="J1834" s="5"/>
      <c r="K1834" s="5"/>
      <c r="L1834" s="5"/>
      <c r="M1834" s="5"/>
      <c r="N1834" s="5"/>
      <c r="O1834" s="5"/>
      <c r="P1834" s="5"/>
      <c r="Q1834" s="5"/>
    </row>
    <row r="1835" spans="1:17" x14ac:dyDescent="0.25">
      <c r="A1835" s="5"/>
      <c r="B1835" s="5"/>
      <c r="C1835" s="5"/>
      <c r="D1835" s="5"/>
      <c r="E1835" s="5"/>
      <c r="F1835" s="5"/>
      <c r="G1835" s="5"/>
      <c r="H1835" s="5"/>
      <c r="I1835" s="5"/>
      <c r="J1835" s="5"/>
      <c r="K1835" s="5"/>
      <c r="L1835" s="5"/>
      <c r="M1835" s="5"/>
      <c r="N1835" s="5"/>
      <c r="O1835" s="5"/>
      <c r="P1835" s="5"/>
      <c r="Q1835" s="5"/>
    </row>
    <row r="1836" spans="1:17" x14ac:dyDescent="0.25">
      <c r="A1836" s="5"/>
      <c r="B1836" s="5"/>
      <c r="C1836" s="5"/>
      <c r="D1836" s="5"/>
      <c r="E1836" s="5"/>
      <c r="F1836" s="5"/>
      <c r="G1836" s="5"/>
      <c r="H1836" s="5"/>
      <c r="I1836" s="5"/>
      <c r="J1836" s="5"/>
      <c r="K1836" s="5"/>
      <c r="L1836" s="5"/>
      <c r="M1836" s="5"/>
      <c r="N1836" s="5"/>
      <c r="O1836" s="5"/>
      <c r="P1836" s="5"/>
      <c r="Q1836" s="5"/>
    </row>
    <row r="1837" spans="1:17" x14ac:dyDescent="0.25">
      <c r="A1837" s="5"/>
      <c r="B1837" s="5"/>
      <c r="C1837" s="5"/>
      <c r="D1837" s="5"/>
      <c r="E1837" s="5"/>
      <c r="F1837" s="5"/>
      <c r="G1837" s="5"/>
      <c r="H1837" s="5"/>
      <c r="I1837" s="5"/>
      <c r="J1837" s="5"/>
      <c r="K1837" s="5"/>
      <c r="L1837" s="5"/>
      <c r="M1837" s="5"/>
      <c r="N1837" s="5"/>
      <c r="O1837" s="5"/>
      <c r="P1837" s="5"/>
      <c r="Q1837" s="5"/>
    </row>
    <row r="1838" spans="1:17" x14ac:dyDescent="0.25">
      <c r="A1838" s="5"/>
      <c r="B1838" s="5"/>
      <c r="C1838" s="5"/>
      <c r="D1838" s="5"/>
      <c r="E1838" s="5"/>
      <c r="F1838" s="5"/>
      <c r="G1838" s="5"/>
      <c r="H1838" s="5"/>
      <c r="I1838" s="5"/>
      <c r="J1838" s="5"/>
      <c r="K1838" s="5"/>
      <c r="L1838" s="5"/>
      <c r="M1838" s="5"/>
      <c r="N1838" s="5"/>
      <c r="O1838" s="5"/>
      <c r="P1838" s="5"/>
      <c r="Q1838" s="5"/>
    </row>
    <row r="1839" spans="1:17" x14ac:dyDescent="0.25">
      <c r="A1839" s="5"/>
      <c r="B1839" s="5"/>
      <c r="C1839" s="5"/>
      <c r="D1839" s="5"/>
      <c r="E1839" s="5"/>
      <c r="F1839" s="5"/>
      <c r="G1839" s="5"/>
      <c r="H1839" s="5"/>
      <c r="I1839" s="5"/>
      <c r="J1839" s="5"/>
      <c r="K1839" s="5"/>
      <c r="L1839" s="5"/>
      <c r="M1839" s="5"/>
      <c r="N1839" s="5"/>
      <c r="O1839" s="5"/>
      <c r="P1839" s="5"/>
      <c r="Q1839" s="5"/>
    </row>
    <row r="1840" spans="1:17" x14ac:dyDescent="0.25">
      <c r="A1840" s="5"/>
      <c r="B1840" s="5"/>
      <c r="C1840" s="5"/>
      <c r="D1840" s="5"/>
      <c r="E1840" s="5"/>
      <c r="F1840" s="5"/>
      <c r="G1840" s="5"/>
      <c r="H1840" s="5"/>
      <c r="I1840" s="5"/>
      <c r="J1840" s="5"/>
      <c r="K1840" s="5"/>
      <c r="L1840" s="5"/>
      <c r="M1840" s="5"/>
      <c r="N1840" s="5"/>
      <c r="O1840" s="5"/>
      <c r="P1840" s="5"/>
      <c r="Q1840" s="5"/>
    </row>
    <row r="1841" spans="1:17" x14ac:dyDescent="0.25">
      <c r="A1841" s="5"/>
      <c r="B1841" s="5"/>
      <c r="C1841" s="5"/>
      <c r="D1841" s="5"/>
      <c r="E1841" s="5"/>
      <c r="F1841" s="5"/>
      <c r="G1841" s="5"/>
      <c r="H1841" s="5"/>
      <c r="I1841" s="5"/>
      <c r="J1841" s="5"/>
      <c r="K1841" s="5"/>
      <c r="L1841" s="5"/>
      <c r="M1841" s="5"/>
      <c r="N1841" s="5"/>
      <c r="O1841" s="5"/>
      <c r="P1841" s="5"/>
      <c r="Q1841" s="5"/>
    </row>
    <row r="1842" spans="1:17" x14ac:dyDescent="0.25">
      <c r="A1842" s="5"/>
      <c r="B1842" s="5"/>
      <c r="C1842" s="5"/>
      <c r="D1842" s="5"/>
      <c r="E1842" s="5"/>
      <c r="F1842" s="5"/>
      <c r="G1842" s="5"/>
      <c r="H1842" s="5"/>
      <c r="I1842" s="5"/>
      <c r="J1842" s="5"/>
      <c r="K1842" s="5"/>
      <c r="L1842" s="5"/>
      <c r="M1842" s="5"/>
      <c r="N1842" s="5"/>
      <c r="O1842" s="5"/>
      <c r="P1842" s="5"/>
      <c r="Q1842" s="5"/>
    </row>
    <row r="1843" spans="1:17" x14ac:dyDescent="0.25">
      <c r="A1843" s="5"/>
      <c r="B1843" s="5"/>
      <c r="C1843" s="5"/>
      <c r="D1843" s="5"/>
      <c r="E1843" s="5"/>
      <c r="F1843" s="5"/>
      <c r="G1843" s="5"/>
      <c r="H1843" s="5"/>
      <c r="I1843" s="5"/>
      <c r="J1843" s="5"/>
      <c r="K1843" s="5"/>
      <c r="L1843" s="5"/>
      <c r="M1843" s="5"/>
      <c r="N1843" s="5"/>
      <c r="O1843" s="5"/>
      <c r="P1843" s="5"/>
      <c r="Q1843" s="5"/>
    </row>
    <row r="1844" spans="1:17" x14ac:dyDescent="0.25">
      <c r="A1844" s="5"/>
      <c r="B1844" s="5"/>
      <c r="C1844" s="5"/>
      <c r="D1844" s="5"/>
      <c r="E1844" s="5"/>
      <c r="F1844" s="5"/>
      <c r="G1844" s="5"/>
      <c r="H1844" s="5"/>
      <c r="I1844" s="5"/>
      <c r="J1844" s="5"/>
      <c r="K1844" s="5"/>
      <c r="L1844" s="5"/>
      <c r="M1844" s="5"/>
      <c r="N1844" s="5"/>
      <c r="O1844" s="5"/>
      <c r="P1844" s="5"/>
      <c r="Q1844" s="5"/>
    </row>
    <row r="1845" spans="1:17" x14ac:dyDescent="0.25">
      <c r="A1845" s="5"/>
      <c r="B1845" s="5"/>
      <c r="C1845" s="5"/>
      <c r="D1845" s="5"/>
      <c r="E1845" s="5"/>
      <c r="F1845" s="5"/>
      <c r="G1845" s="5"/>
      <c r="H1845" s="5"/>
      <c r="I1845" s="5"/>
      <c r="J1845" s="5"/>
      <c r="K1845" s="5"/>
      <c r="L1845" s="5"/>
      <c r="M1845" s="5"/>
      <c r="N1845" s="5"/>
      <c r="O1845" s="5"/>
      <c r="P1845" s="5"/>
      <c r="Q1845" s="5"/>
    </row>
    <row r="1846" spans="1:17" x14ac:dyDescent="0.25">
      <c r="A1846" s="5"/>
      <c r="B1846" s="5"/>
      <c r="C1846" s="5"/>
      <c r="D1846" s="5"/>
      <c r="E1846" s="5"/>
      <c r="F1846" s="5"/>
      <c r="G1846" s="5"/>
      <c r="H1846" s="5"/>
      <c r="I1846" s="5"/>
      <c r="J1846" s="5"/>
      <c r="K1846" s="5"/>
      <c r="L1846" s="5"/>
      <c r="M1846" s="5"/>
      <c r="N1846" s="5"/>
      <c r="O1846" s="5"/>
      <c r="P1846" s="5"/>
      <c r="Q1846" s="5"/>
    </row>
    <row r="1847" spans="1:17" x14ac:dyDescent="0.25">
      <c r="A1847" s="5"/>
      <c r="B1847" s="5"/>
      <c r="C1847" s="5"/>
      <c r="D1847" s="5"/>
      <c r="E1847" s="5"/>
      <c r="F1847" s="5"/>
      <c r="G1847" s="5"/>
      <c r="H1847" s="5"/>
      <c r="I1847" s="5"/>
      <c r="J1847" s="5"/>
      <c r="K1847" s="5"/>
      <c r="L1847" s="5"/>
      <c r="M1847" s="5"/>
      <c r="N1847" s="5"/>
      <c r="O1847" s="5"/>
      <c r="P1847" s="5"/>
      <c r="Q1847" s="5"/>
    </row>
    <row r="1848" spans="1:17" x14ac:dyDescent="0.25">
      <c r="A1848" s="5"/>
      <c r="B1848" s="5"/>
      <c r="C1848" s="5"/>
      <c r="D1848" s="5"/>
      <c r="E1848" s="5"/>
      <c r="F1848" s="5"/>
      <c r="G1848" s="5"/>
      <c r="H1848" s="5"/>
      <c r="I1848" s="5"/>
      <c r="J1848" s="5"/>
      <c r="K1848" s="5"/>
      <c r="L1848" s="5"/>
      <c r="M1848" s="5"/>
      <c r="N1848" s="5"/>
      <c r="O1848" s="5"/>
      <c r="P1848" s="5"/>
      <c r="Q1848" s="5"/>
    </row>
    <row r="1849" spans="1:17" x14ac:dyDescent="0.25">
      <c r="A1849" s="5"/>
      <c r="B1849" s="5"/>
      <c r="C1849" s="5"/>
      <c r="D1849" s="5"/>
      <c r="E1849" s="5"/>
      <c r="F1849" s="5"/>
      <c r="G1849" s="5"/>
      <c r="H1849" s="5"/>
      <c r="I1849" s="5"/>
      <c r="J1849" s="5"/>
      <c r="K1849" s="5"/>
      <c r="L1849" s="5"/>
      <c r="M1849" s="5"/>
      <c r="N1849" s="5"/>
      <c r="O1849" s="5"/>
      <c r="P1849" s="5"/>
      <c r="Q1849" s="5"/>
    </row>
    <row r="1850" spans="1:17" x14ac:dyDescent="0.25">
      <c r="A1850" s="5"/>
      <c r="B1850" s="5"/>
      <c r="C1850" s="5"/>
      <c r="D1850" s="5"/>
      <c r="E1850" s="5"/>
      <c r="F1850" s="5"/>
      <c r="G1850" s="5"/>
      <c r="H1850" s="5"/>
      <c r="I1850" s="5"/>
      <c r="J1850" s="5"/>
      <c r="K1850" s="5"/>
      <c r="L1850" s="5"/>
      <c r="M1850" s="5"/>
      <c r="N1850" s="5"/>
      <c r="O1850" s="5"/>
      <c r="P1850" s="5"/>
      <c r="Q1850" s="5"/>
    </row>
    <row r="1851" spans="1:17" x14ac:dyDescent="0.25">
      <c r="A1851" s="5"/>
      <c r="B1851" s="5"/>
      <c r="C1851" s="5"/>
      <c r="D1851" s="5"/>
      <c r="E1851" s="5"/>
      <c r="F1851" s="5"/>
      <c r="G1851" s="5"/>
      <c r="H1851" s="5"/>
      <c r="I1851" s="5"/>
      <c r="J1851" s="5"/>
      <c r="K1851" s="5"/>
      <c r="L1851" s="5"/>
      <c r="M1851" s="5"/>
      <c r="N1851" s="5"/>
      <c r="O1851" s="5"/>
      <c r="P1851" s="5"/>
      <c r="Q1851" s="5"/>
    </row>
    <row r="1852" spans="1:17" x14ac:dyDescent="0.25">
      <c r="A1852" s="5"/>
      <c r="B1852" s="5"/>
      <c r="C1852" s="5"/>
      <c r="D1852" s="5"/>
      <c r="E1852" s="5"/>
      <c r="F1852" s="5"/>
      <c r="G1852" s="5"/>
      <c r="H1852" s="5"/>
      <c r="I1852" s="5"/>
      <c r="J1852" s="5"/>
      <c r="K1852" s="5"/>
      <c r="L1852" s="5"/>
      <c r="M1852" s="5"/>
      <c r="N1852" s="5"/>
      <c r="O1852" s="5"/>
      <c r="P1852" s="5"/>
      <c r="Q1852" s="5"/>
    </row>
    <row r="1853" spans="1:17" x14ac:dyDescent="0.25">
      <c r="A1853" s="5"/>
      <c r="B1853" s="5"/>
      <c r="C1853" s="5"/>
      <c r="D1853" s="5"/>
      <c r="E1853" s="5"/>
      <c r="F1853" s="5"/>
      <c r="G1853" s="5"/>
      <c r="H1853" s="5"/>
      <c r="I1853" s="5"/>
      <c r="J1853" s="5"/>
      <c r="K1853" s="5"/>
      <c r="L1853" s="5"/>
      <c r="M1853" s="5"/>
      <c r="N1853" s="5"/>
      <c r="O1853" s="5"/>
      <c r="P1853" s="5"/>
      <c r="Q1853" s="5"/>
    </row>
    <row r="1854" spans="1:17" x14ac:dyDescent="0.25">
      <c r="A1854" s="5"/>
      <c r="B1854" s="5"/>
      <c r="C1854" s="5"/>
      <c r="D1854" s="5"/>
      <c r="E1854" s="5"/>
      <c r="F1854" s="5"/>
      <c r="G1854" s="5"/>
      <c r="H1854" s="5"/>
      <c r="I1854" s="5"/>
      <c r="J1854" s="5"/>
      <c r="K1854" s="5"/>
      <c r="L1854" s="5"/>
      <c r="M1854" s="5"/>
      <c r="N1854" s="5"/>
      <c r="O1854" s="5"/>
      <c r="P1854" s="5"/>
      <c r="Q1854" s="5"/>
    </row>
    <row r="1855" spans="1:17" x14ac:dyDescent="0.25">
      <c r="A1855" s="5"/>
      <c r="B1855" s="5"/>
      <c r="C1855" s="5"/>
      <c r="D1855" s="5"/>
      <c r="E1855" s="5"/>
      <c r="F1855" s="5"/>
      <c r="G1855" s="5"/>
      <c r="H1855" s="5"/>
      <c r="I1855" s="5"/>
      <c r="J1855" s="5"/>
      <c r="K1855" s="5"/>
      <c r="L1855" s="5"/>
      <c r="M1855" s="5"/>
      <c r="N1855" s="5"/>
      <c r="O1855" s="5"/>
      <c r="P1855" s="5"/>
      <c r="Q1855" s="5"/>
    </row>
    <row r="1856" spans="1:17" x14ac:dyDescent="0.25">
      <c r="A1856" s="5"/>
      <c r="B1856" s="5"/>
      <c r="C1856" s="5"/>
      <c r="D1856" s="5"/>
      <c r="E1856" s="5"/>
      <c r="F1856" s="5"/>
      <c r="G1856" s="5"/>
      <c r="H1856" s="5"/>
      <c r="I1856" s="5"/>
      <c r="J1856" s="5"/>
      <c r="K1856" s="5"/>
      <c r="L1856" s="5"/>
      <c r="M1856" s="5"/>
      <c r="N1856" s="5"/>
      <c r="O1856" s="5"/>
      <c r="P1856" s="5"/>
      <c r="Q1856" s="5"/>
    </row>
    <row r="1857" spans="1:17" x14ac:dyDescent="0.25">
      <c r="A1857" s="5"/>
      <c r="B1857" s="5"/>
      <c r="C1857" s="5"/>
      <c r="D1857" s="5"/>
      <c r="E1857" s="5"/>
      <c r="F1857" s="5"/>
      <c r="G1857" s="5"/>
      <c r="H1857" s="5"/>
      <c r="I1857" s="5"/>
      <c r="J1857" s="5"/>
      <c r="K1857" s="5"/>
      <c r="L1857" s="5"/>
      <c r="M1857" s="5"/>
      <c r="N1857" s="5"/>
      <c r="O1857" s="5"/>
      <c r="P1857" s="5"/>
      <c r="Q1857" s="5"/>
    </row>
    <row r="1858" spans="1:17" x14ac:dyDescent="0.25">
      <c r="A1858" s="5"/>
      <c r="B1858" s="5"/>
      <c r="C1858" s="5"/>
      <c r="D1858" s="5"/>
      <c r="E1858" s="5"/>
      <c r="F1858" s="5"/>
      <c r="G1858" s="5"/>
      <c r="H1858" s="5"/>
      <c r="I1858" s="5"/>
      <c r="J1858" s="5"/>
      <c r="K1858" s="5"/>
      <c r="L1858" s="5"/>
      <c r="M1858" s="5"/>
      <c r="N1858" s="5"/>
      <c r="O1858" s="5"/>
      <c r="P1858" s="5"/>
      <c r="Q1858" s="5"/>
    </row>
    <row r="1859" spans="1:17" x14ac:dyDescent="0.25">
      <c r="A1859" s="5"/>
      <c r="B1859" s="5"/>
      <c r="C1859" s="5"/>
      <c r="D1859" s="5"/>
      <c r="E1859" s="5"/>
      <c r="F1859" s="5"/>
      <c r="G1859" s="5"/>
      <c r="H1859" s="5"/>
      <c r="I1859" s="5"/>
      <c r="J1859" s="5"/>
      <c r="K1859" s="5"/>
      <c r="L1859" s="5"/>
      <c r="M1859" s="5"/>
      <c r="N1859" s="5"/>
      <c r="O1859" s="5"/>
      <c r="P1859" s="5"/>
      <c r="Q1859" s="5"/>
    </row>
    <row r="1860" spans="1:17" x14ac:dyDescent="0.25">
      <c r="A1860" s="5"/>
      <c r="B1860" s="5"/>
      <c r="C1860" s="5"/>
      <c r="D1860" s="5"/>
      <c r="E1860" s="5"/>
      <c r="F1860" s="5"/>
      <c r="G1860" s="5"/>
      <c r="H1860" s="5"/>
      <c r="I1860" s="5"/>
      <c r="J1860" s="5"/>
      <c r="K1860" s="5"/>
      <c r="L1860" s="5"/>
      <c r="M1860" s="5"/>
      <c r="N1860" s="5"/>
      <c r="O1860" s="5"/>
      <c r="P1860" s="5"/>
      <c r="Q1860" s="5"/>
    </row>
    <row r="1861" spans="1:17" x14ac:dyDescent="0.25">
      <c r="A1861" s="5"/>
      <c r="B1861" s="5"/>
      <c r="C1861" s="5"/>
      <c r="D1861" s="5"/>
      <c r="E1861" s="5"/>
      <c r="F1861" s="5"/>
      <c r="G1861" s="5"/>
      <c r="H1861" s="5"/>
      <c r="I1861" s="5"/>
      <c r="J1861" s="5"/>
      <c r="K1861" s="5"/>
      <c r="L1861" s="5"/>
      <c r="M1861" s="5"/>
      <c r="N1861" s="5"/>
      <c r="O1861" s="5"/>
      <c r="P1861" s="5"/>
      <c r="Q1861" s="5"/>
    </row>
    <row r="1862" spans="1:17" x14ac:dyDescent="0.25">
      <c r="A1862" s="5"/>
      <c r="B1862" s="5"/>
      <c r="C1862" s="5"/>
      <c r="D1862" s="5"/>
      <c r="E1862" s="5"/>
      <c r="F1862" s="5"/>
      <c r="G1862" s="5"/>
      <c r="H1862" s="5"/>
      <c r="I1862" s="5"/>
      <c r="J1862" s="5"/>
      <c r="K1862" s="5"/>
      <c r="L1862" s="5"/>
      <c r="M1862" s="5"/>
      <c r="N1862" s="5"/>
      <c r="O1862" s="5"/>
      <c r="P1862" s="5"/>
      <c r="Q1862" s="5"/>
    </row>
    <row r="1863" spans="1:17" x14ac:dyDescent="0.25">
      <c r="A1863" s="5"/>
      <c r="B1863" s="5"/>
      <c r="C1863" s="5"/>
      <c r="D1863" s="5"/>
      <c r="E1863" s="5"/>
      <c r="F1863" s="5"/>
      <c r="G1863" s="5"/>
      <c r="H1863" s="5"/>
      <c r="I1863" s="5"/>
      <c r="J1863" s="5"/>
      <c r="K1863" s="5"/>
      <c r="L1863" s="5"/>
      <c r="M1863" s="5"/>
      <c r="N1863" s="5"/>
      <c r="O1863" s="5"/>
      <c r="P1863" s="5"/>
      <c r="Q1863" s="5"/>
    </row>
    <row r="1864" spans="1:17" x14ac:dyDescent="0.25">
      <c r="A1864" s="5"/>
      <c r="B1864" s="5"/>
      <c r="C1864" s="5"/>
      <c r="D1864" s="5"/>
      <c r="E1864" s="5"/>
      <c r="F1864" s="5"/>
      <c r="G1864" s="5"/>
      <c r="H1864" s="5"/>
      <c r="I1864" s="5"/>
      <c r="J1864" s="5"/>
      <c r="K1864" s="5"/>
      <c r="L1864" s="5"/>
      <c r="M1864" s="5"/>
      <c r="N1864" s="5"/>
      <c r="O1864" s="5"/>
      <c r="P1864" s="5"/>
      <c r="Q1864" s="5"/>
    </row>
    <row r="1865" spans="1:17" x14ac:dyDescent="0.25">
      <c r="A1865" s="5"/>
      <c r="B1865" s="5"/>
      <c r="C1865" s="5"/>
      <c r="D1865" s="5"/>
      <c r="E1865" s="5"/>
      <c r="F1865" s="5"/>
      <c r="G1865" s="5"/>
      <c r="H1865" s="5"/>
      <c r="I1865" s="5"/>
      <c r="J1865" s="5"/>
      <c r="K1865" s="5"/>
      <c r="L1865" s="5"/>
      <c r="M1865" s="5"/>
      <c r="N1865" s="5"/>
      <c r="O1865" s="5"/>
      <c r="P1865" s="5"/>
      <c r="Q1865" s="5"/>
    </row>
    <row r="1866" spans="1:17" x14ac:dyDescent="0.25">
      <c r="A1866" s="5"/>
      <c r="B1866" s="5"/>
      <c r="C1866" s="5"/>
      <c r="D1866" s="5"/>
      <c r="E1866" s="5"/>
      <c r="F1866" s="5"/>
      <c r="G1866" s="5"/>
      <c r="H1866" s="5"/>
      <c r="I1866" s="5"/>
      <c r="J1866" s="5"/>
      <c r="K1866" s="5"/>
      <c r="L1866" s="5"/>
      <c r="M1866" s="5"/>
      <c r="N1866" s="5"/>
      <c r="O1866" s="5"/>
      <c r="P1866" s="5"/>
      <c r="Q1866" s="5"/>
    </row>
    <row r="1867" spans="1:17" x14ac:dyDescent="0.25">
      <c r="A1867" s="5"/>
      <c r="B1867" s="5"/>
      <c r="C1867" s="5"/>
      <c r="D1867" s="5"/>
      <c r="E1867" s="5"/>
      <c r="F1867" s="5"/>
      <c r="G1867" s="5"/>
      <c r="H1867" s="5"/>
      <c r="I1867" s="5"/>
      <c r="J1867" s="5"/>
      <c r="K1867" s="5"/>
      <c r="L1867" s="5"/>
      <c r="M1867" s="5"/>
      <c r="N1867" s="5"/>
      <c r="O1867" s="5"/>
      <c r="P1867" s="5"/>
      <c r="Q1867" s="5"/>
    </row>
    <row r="1868" spans="1:17" x14ac:dyDescent="0.25">
      <c r="A1868" s="5"/>
      <c r="B1868" s="5"/>
      <c r="C1868" s="5"/>
      <c r="D1868" s="5"/>
      <c r="E1868" s="5"/>
      <c r="F1868" s="5"/>
      <c r="G1868" s="5"/>
      <c r="H1868" s="5"/>
      <c r="I1868" s="5"/>
      <c r="J1868" s="5"/>
      <c r="K1868" s="5"/>
      <c r="L1868" s="5"/>
      <c r="M1868" s="5"/>
      <c r="N1868" s="5"/>
      <c r="O1868" s="5"/>
      <c r="P1868" s="5"/>
      <c r="Q1868" s="5"/>
    </row>
    <row r="1869" spans="1:17" x14ac:dyDescent="0.25">
      <c r="A1869" s="5"/>
      <c r="B1869" s="5"/>
      <c r="C1869" s="5"/>
      <c r="D1869" s="5"/>
      <c r="E1869" s="5"/>
      <c r="F1869" s="5"/>
      <c r="G1869" s="5"/>
      <c r="H1869" s="5"/>
      <c r="I1869" s="5"/>
      <c r="J1869" s="5"/>
      <c r="K1869" s="5"/>
      <c r="L1869" s="5"/>
      <c r="M1869" s="5"/>
      <c r="N1869" s="5"/>
      <c r="O1869" s="5"/>
      <c r="P1869" s="5"/>
      <c r="Q1869" s="5"/>
    </row>
    <row r="1870" spans="1:17" x14ac:dyDescent="0.25">
      <c r="A1870" s="5"/>
      <c r="B1870" s="5"/>
      <c r="C1870" s="5"/>
      <c r="D1870" s="5"/>
      <c r="E1870" s="5"/>
      <c r="F1870" s="5"/>
      <c r="G1870" s="5"/>
      <c r="H1870" s="5"/>
      <c r="I1870" s="5"/>
      <c r="J1870" s="5"/>
      <c r="K1870" s="5"/>
      <c r="L1870" s="5"/>
      <c r="M1870" s="5"/>
      <c r="N1870" s="5"/>
      <c r="O1870" s="5"/>
      <c r="P1870" s="5"/>
      <c r="Q1870" s="5"/>
    </row>
    <row r="1871" spans="1:17" x14ac:dyDescent="0.25">
      <c r="A1871" s="5"/>
      <c r="B1871" s="5"/>
      <c r="C1871" s="5"/>
      <c r="D1871" s="5"/>
      <c r="E1871" s="5"/>
      <c r="F1871" s="5"/>
      <c r="G1871" s="5"/>
      <c r="H1871" s="5"/>
      <c r="I1871" s="5"/>
      <c r="J1871" s="5"/>
      <c r="K1871" s="5"/>
      <c r="L1871" s="5"/>
      <c r="M1871" s="5"/>
      <c r="N1871" s="5"/>
      <c r="O1871" s="5"/>
      <c r="P1871" s="5"/>
      <c r="Q1871" s="5"/>
    </row>
    <row r="1872" spans="1:17" x14ac:dyDescent="0.25">
      <c r="A1872" s="5"/>
      <c r="B1872" s="5"/>
      <c r="C1872" s="5"/>
      <c r="D1872" s="5"/>
      <c r="E1872" s="5"/>
      <c r="F1872" s="5"/>
      <c r="G1872" s="5"/>
      <c r="H1872" s="5"/>
      <c r="I1872" s="5"/>
      <c r="J1872" s="5"/>
      <c r="K1872" s="5"/>
      <c r="L1872" s="5"/>
      <c r="M1872" s="5"/>
      <c r="N1872" s="5"/>
      <c r="O1872" s="5"/>
      <c r="P1872" s="5"/>
      <c r="Q1872" s="5"/>
    </row>
    <row r="1873" spans="1:17" x14ac:dyDescent="0.25">
      <c r="A1873" s="5"/>
      <c r="B1873" s="5"/>
      <c r="C1873" s="5"/>
      <c r="D1873" s="5"/>
      <c r="E1873" s="5"/>
      <c r="F1873" s="5"/>
      <c r="G1873" s="5"/>
      <c r="H1873" s="5"/>
      <c r="I1873" s="5"/>
      <c r="J1873" s="5"/>
      <c r="K1873" s="5"/>
      <c r="L1873" s="5"/>
      <c r="M1873" s="5"/>
      <c r="N1873" s="5"/>
      <c r="O1873" s="5"/>
      <c r="P1873" s="5"/>
      <c r="Q1873" s="5"/>
    </row>
    <row r="1874" spans="1:17" x14ac:dyDescent="0.25">
      <c r="A1874" s="5"/>
      <c r="B1874" s="5"/>
      <c r="C1874" s="5"/>
      <c r="D1874" s="5"/>
      <c r="E1874" s="5"/>
      <c r="F1874" s="5"/>
      <c r="G1874" s="5"/>
      <c r="H1874" s="5"/>
      <c r="I1874" s="5"/>
      <c r="J1874" s="5"/>
      <c r="K1874" s="5"/>
      <c r="L1874" s="5"/>
      <c r="M1874" s="5"/>
      <c r="N1874" s="5"/>
      <c r="O1874" s="5"/>
      <c r="P1874" s="5"/>
      <c r="Q1874" s="5"/>
    </row>
    <row r="1875" spans="1:17" x14ac:dyDescent="0.25">
      <c r="A1875" s="5"/>
      <c r="B1875" s="5"/>
      <c r="C1875" s="5"/>
      <c r="D1875" s="5"/>
      <c r="E1875" s="5"/>
      <c r="F1875" s="5"/>
      <c r="G1875" s="5"/>
      <c r="H1875" s="5"/>
      <c r="I1875" s="5"/>
      <c r="J1875" s="5"/>
      <c r="K1875" s="5"/>
      <c r="L1875" s="5"/>
      <c r="M1875" s="5"/>
      <c r="N1875" s="5"/>
      <c r="O1875" s="5"/>
      <c r="P1875" s="5"/>
      <c r="Q1875" s="5"/>
    </row>
    <row r="1876" spans="1:17" x14ac:dyDescent="0.25">
      <c r="A1876" s="5"/>
      <c r="B1876" s="5"/>
      <c r="C1876" s="5"/>
      <c r="D1876" s="5"/>
      <c r="E1876" s="5"/>
      <c r="F1876" s="5"/>
      <c r="G1876" s="5"/>
      <c r="H1876" s="5"/>
      <c r="I1876" s="5"/>
      <c r="J1876" s="5"/>
      <c r="K1876" s="5"/>
      <c r="L1876" s="5"/>
      <c r="M1876" s="5"/>
      <c r="N1876" s="5"/>
      <c r="O1876" s="5"/>
      <c r="P1876" s="5"/>
      <c r="Q1876" s="5"/>
    </row>
    <row r="1877" spans="1:17" x14ac:dyDescent="0.25">
      <c r="A1877" s="5"/>
      <c r="B1877" s="5"/>
      <c r="C1877" s="5"/>
      <c r="D1877" s="5"/>
      <c r="E1877" s="5"/>
      <c r="F1877" s="5"/>
      <c r="G1877" s="5"/>
      <c r="H1877" s="5"/>
      <c r="I1877" s="5"/>
      <c r="J1877" s="5"/>
      <c r="K1877" s="5"/>
      <c r="L1877" s="5"/>
      <c r="M1877" s="5"/>
      <c r="N1877" s="5"/>
      <c r="O1877" s="5"/>
      <c r="P1877" s="5"/>
      <c r="Q1877" s="5"/>
    </row>
    <row r="1878" spans="1:17" x14ac:dyDescent="0.25">
      <c r="A1878" s="5"/>
      <c r="B1878" s="5"/>
      <c r="C1878" s="5"/>
      <c r="D1878" s="5"/>
      <c r="E1878" s="5"/>
      <c r="F1878" s="5"/>
      <c r="G1878" s="5"/>
      <c r="H1878" s="5"/>
      <c r="I1878" s="5"/>
      <c r="J1878" s="5"/>
      <c r="K1878" s="5"/>
      <c r="L1878" s="5"/>
      <c r="M1878" s="5"/>
      <c r="N1878" s="5"/>
      <c r="O1878" s="5"/>
      <c r="P1878" s="5"/>
      <c r="Q1878" s="5"/>
    </row>
    <row r="1879" spans="1:17" x14ac:dyDescent="0.25">
      <c r="A1879" s="5"/>
      <c r="B1879" s="5"/>
      <c r="C1879" s="5"/>
      <c r="D1879" s="5"/>
      <c r="E1879" s="5"/>
      <c r="F1879" s="5"/>
      <c r="G1879" s="5"/>
      <c r="H1879" s="5"/>
      <c r="I1879" s="5"/>
      <c r="J1879" s="5"/>
      <c r="K1879" s="5"/>
      <c r="L1879" s="5"/>
      <c r="M1879" s="5"/>
      <c r="N1879" s="5"/>
      <c r="O1879" s="5"/>
      <c r="P1879" s="5"/>
      <c r="Q1879" s="5"/>
    </row>
    <row r="1880" spans="1:17" x14ac:dyDescent="0.25">
      <c r="A1880" s="5"/>
      <c r="B1880" s="5"/>
      <c r="C1880" s="5"/>
      <c r="D1880" s="5"/>
      <c r="E1880" s="5"/>
      <c r="F1880" s="5"/>
      <c r="G1880" s="5"/>
      <c r="H1880" s="5"/>
      <c r="I1880" s="5"/>
      <c r="J1880" s="5"/>
      <c r="K1880" s="5"/>
      <c r="L1880" s="5"/>
      <c r="M1880" s="5"/>
      <c r="N1880" s="5"/>
      <c r="O1880" s="5"/>
      <c r="P1880" s="5"/>
      <c r="Q1880" s="5"/>
    </row>
    <row r="1881" spans="1:17" x14ac:dyDescent="0.25">
      <c r="A1881" s="5"/>
      <c r="B1881" s="5"/>
      <c r="C1881" s="5"/>
      <c r="D1881" s="5"/>
      <c r="E1881" s="5"/>
      <c r="F1881" s="5"/>
      <c r="G1881" s="5"/>
      <c r="H1881" s="5"/>
      <c r="I1881" s="5"/>
      <c r="J1881" s="5"/>
      <c r="K1881" s="5"/>
      <c r="L1881" s="5"/>
      <c r="M1881" s="5"/>
      <c r="N1881" s="5"/>
      <c r="O1881" s="5"/>
      <c r="P1881" s="5"/>
      <c r="Q1881" s="5"/>
    </row>
    <row r="1882" spans="1:17" x14ac:dyDescent="0.25">
      <c r="A1882" s="5"/>
      <c r="B1882" s="5"/>
      <c r="C1882" s="5"/>
      <c r="D1882" s="5"/>
      <c r="E1882" s="5"/>
      <c r="F1882" s="5"/>
      <c r="G1882" s="5"/>
      <c r="H1882" s="5"/>
      <c r="I1882" s="5"/>
      <c r="J1882" s="5"/>
      <c r="K1882" s="5"/>
      <c r="L1882" s="5"/>
      <c r="M1882" s="5"/>
      <c r="N1882" s="5"/>
      <c r="O1882" s="5"/>
      <c r="P1882" s="5"/>
      <c r="Q1882" s="5"/>
    </row>
    <row r="1883" spans="1:17" x14ac:dyDescent="0.25">
      <c r="A1883" s="5"/>
      <c r="B1883" s="5"/>
      <c r="C1883" s="5"/>
      <c r="D1883" s="5"/>
      <c r="E1883" s="5"/>
      <c r="F1883" s="5"/>
      <c r="G1883" s="5"/>
      <c r="H1883" s="5"/>
      <c r="I1883" s="5"/>
      <c r="J1883" s="5"/>
      <c r="K1883" s="5"/>
      <c r="L1883" s="5"/>
      <c r="M1883" s="5"/>
      <c r="N1883" s="5"/>
      <c r="O1883" s="5"/>
      <c r="P1883" s="5"/>
      <c r="Q1883" s="5"/>
    </row>
    <row r="1884" spans="1:17" x14ac:dyDescent="0.25">
      <c r="A1884" s="5"/>
      <c r="B1884" s="5"/>
      <c r="C1884" s="5"/>
      <c r="D1884" s="5"/>
      <c r="E1884" s="5"/>
      <c r="F1884" s="5"/>
      <c r="G1884" s="5"/>
      <c r="H1884" s="5"/>
      <c r="I1884" s="5"/>
      <c r="J1884" s="5"/>
      <c r="K1884" s="5"/>
      <c r="L1884" s="5"/>
      <c r="M1884" s="5"/>
      <c r="N1884" s="5"/>
      <c r="O1884" s="5"/>
      <c r="P1884" s="5"/>
      <c r="Q1884" s="5"/>
    </row>
    <row r="1885" spans="1:17" x14ac:dyDescent="0.25">
      <c r="A1885" s="5"/>
      <c r="B1885" s="5"/>
      <c r="C1885" s="5"/>
      <c r="D1885" s="5"/>
      <c r="E1885" s="5"/>
      <c r="F1885" s="5"/>
      <c r="G1885" s="5"/>
      <c r="H1885" s="5"/>
      <c r="I1885" s="5"/>
      <c r="J1885" s="5"/>
      <c r="K1885" s="5"/>
      <c r="L1885" s="5"/>
      <c r="M1885" s="5"/>
      <c r="N1885" s="5"/>
      <c r="O1885" s="5"/>
      <c r="P1885" s="5"/>
      <c r="Q1885" s="5"/>
    </row>
    <row r="1886" spans="1:17" x14ac:dyDescent="0.25">
      <c r="A1886" s="5"/>
      <c r="B1886" s="5"/>
      <c r="C1886" s="5"/>
      <c r="D1886" s="5"/>
      <c r="E1886" s="5"/>
      <c r="F1886" s="5"/>
      <c r="G1886" s="5"/>
      <c r="H1886" s="5"/>
      <c r="I1886" s="5"/>
      <c r="J1886" s="5"/>
      <c r="K1886" s="5"/>
      <c r="L1886" s="5"/>
      <c r="M1886" s="5"/>
      <c r="N1886" s="5"/>
      <c r="O1886" s="5"/>
      <c r="P1886" s="5"/>
      <c r="Q1886" s="5"/>
    </row>
    <row r="1887" spans="1:17" x14ac:dyDescent="0.25">
      <c r="A1887" s="5"/>
      <c r="B1887" s="5"/>
      <c r="C1887" s="5"/>
      <c r="D1887" s="5"/>
      <c r="E1887" s="5"/>
      <c r="F1887" s="5"/>
      <c r="G1887" s="5"/>
      <c r="H1887" s="5"/>
      <c r="I1887" s="5"/>
      <c r="J1887" s="5"/>
      <c r="K1887" s="5"/>
      <c r="L1887" s="5"/>
      <c r="M1887" s="5"/>
      <c r="N1887" s="5"/>
      <c r="O1887" s="5"/>
      <c r="P1887" s="5"/>
      <c r="Q1887" s="5"/>
    </row>
    <row r="1888" spans="1:17" x14ac:dyDescent="0.25">
      <c r="A1888" s="5"/>
      <c r="B1888" s="5"/>
      <c r="C1888" s="5"/>
      <c r="D1888" s="5"/>
      <c r="E1888" s="5"/>
      <c r="F1888" s="5"/>
      <c r="G1888" s="5"/>
      <c r="H1888" s="5"/>
      <c r="I1888" s="5"/>
      <c r="J1888" s="5"/>
      <c r="K1888" s="5"/>
      <c r="L1888" s="5"/>
      <c r="M1888" s="5"/>
      <c r="N1888" s="5"/>
      <c r="O1888" s="5"/>
      <c r="P1888" s="5"/>
      <c r="Q1888" s="5"/>
    </row>
    <row r="1889" spans="1:17" x14ac:dyDescent="0.25">
      <c r="A1889" s="5"/>
      <c r="B1889" s="5"/>
      <c r="C1889" s="5"/>
      <c r="D1889" s="5"/>
      <c r="E1889" s="5"/>
      <c r="F1889" s="5"/>
      <c r="G1889" s="5"/>
      <c r="H1889" s="5"/>
      <c r="I1889" s="5"/>
      <c r="J1889" s="5"/>
      <c r="K1889" s="5"/>
      <c r="L1889" s="5"/>
      <c r="M1889" s="5"/>
      <c r="N1889" s="5"/>
      <c r="O1889" s="5"/>
      <c r="P1889" s="5"/>
      <c r="Q1889" s="5"/>
    </row>
    <row r="1890" spans="1:17" x14ac:dyDescent="0.25">
      <c r="A1890" s="5"/>
      <c r="B1890" s="5"/>
      <c r="C1890" s="5"/>
      <c r="D1890" s="5"/>
      <c r="E1890" s="5"/>
      <c r="F1890" s="5"/>
      <c r="G1890" s="5"/>
      <c r="H1890" s="5"/>
      <c r="I1890" s="5"/>
      <c r="J1890" s="5"/>
      <c r="K1890" s="5"/>
      <c r="L1890" s="5"/>
      <c r="M1890" s="5"/>
      <c r="N1890" s="5"/>
      <c r="O1890" s="5"/>
      <c r="P1890" s="5"/>
      <c r="Q1890" s="5"/>
    </row>
    <row r="1891" spans="1:17" x14ac:dyDescent="0.25">
      <c r="A1891" s="5"/>
      <c r="B1891" s="5"/>
      <c r="C1891" s="5"/>
      <c r="D1891" s="5"/>
      <c r="E1891" s="5"/>
      <c r="F1891" s="5"/>
      <c r="G1891" s="5"/>
      <c r="H1891" s="5"/>
      <c r="I1891" s="5"/>
      <c r="J1891" s="5"/>
      <c r="K1891" s="5"/>
      <c r="L1891" s="5"/>
      <c r="M1891" s="5"/>
      <c r="N1891" s="5"/>
      <c r="O1891" s="5"/>
      <c r="P1891" s="5"/>
      <c r="Q1891" s="5"/>
    </row>
    <row r="1892" spans="1:17" x14ac:dyDescent="0.25">
      <c r="A1892" s="5"/>
      <c r="B1892" s="5"/>
      <c r="C1892" s="5"/>
      <c r="D1892" s="5"/>
      <c r="E1892" s="5"/>
      <c r="F1892" s="5"/>
      <c r="G1892" s="5"/>
      <c r="H1892" s="5"/>
      <c r="I1892" s="5"/>
      <c r="J1892" s="5"/>
      <c r="K1892" s="5"/>
      <c r="L1892" s="5"/>
      <c r="M1892" s="5"/>
      <c r="N1892" s="5"/>
      <c r="O1892" s="5"/>
      <c r="P1892" s="5"/>
      <c r="Q1892" s="5"/>
    </row>
    <row r="1893" spans="1:17" x14ac:dyDescent="0.25">
      <c r="A1893" s="5"/>
      <c r="B1893" s="5"/>
      <c r="C1893" s="5"/>
      <c r="D1893" s="5"/>
      <c r="E1893" s="5"/>
      <c r="F1893" s="5"/>
      <c r="G1893" s="5"/>
      <c r="H1893" s="5"/>
      <c r="I1893" s="5"/>
      <c r="J1893" s="5"/>
      <c r="K1893" s="5"/>
      <c r="L1893" s="5"/>
      <c r="M1893" s="5"/>
      <c r="N1893" s="5"/>
      <c r="O1893" s="5"/>
      <c r="P1893" s="5"/>
      <c r="Q1893" s="5"/>
    </row>
    <row r="1894" spans="1:17" x14ac:dyDescent="0.25">
      <c r="A1894" s="5"/>
      <c r="B1894" s="5"/>
      <c r="C1894" s="5"/>
      <c r="D1894" s="5"/>
      <c r="E1894" s="5"/>
      <c r="F1894" s="5"/>
      <c r="G1894" s="5"/>
      <c r="H1894" s="5"/>
      <c r="I1894" s="5"/>
      <c r="J1894" s="5"/>
      <c r="K1894" s="5"/>
      <c r="L1894" s="5"/>
      <c r="M1894" s="5"/>
      <c r="N1894" s="5"/>
      <c r="O1894" s="5"/>
      <c r="P1894" s="5"/>
      <c r="Q1894" s="5"/>
    </row>
    <row r="1895" spans="1:17" x14ac:dyDescent="0.25">
      <c r="A1895" s="5"/>
      <c r="B1895" s="5"/>
      <c r="C1895" s="5"/>
      <c r="D1895" s="5"/>
      <c r="E1895" s="5"/>
      <c r="F1895" s="5"/>
      <c r="G1895" s="5"/>
      <c r="H1895" s="5"/>
      <c r="I1895" s="5"/>
      <c r="J1895" s="5"/>
      <c r="K1895" s="5"/>
      <c r="L1895" s="5"/>
      <c r="M1895" s="5"/>
      <c r="N1895" s="5"/>
      <c r="O1895" s="5"/>
      <c r="P1895" s="5"/>
      <c r="Q1895" s="5"/>
    </row>
    <row r="1896" spans="1:17" x14ac:dyDescent="0.25">
      <c r="A1896" s="5"/>
      <c r="B1896" s="5"/>
      <c r="C1896" s="5"/>
      <c r="D1896" s="5"/>
      <c r="E1896" s="5"/>
      <c r="F1896" s="5"/>
      <c r="G1896" s="5"/>
      <c r="H1896" s="5"/>
      <c r="I1896" s="5"/>
      <c r="J1896" s="5"/>
      <c r="K1896" s="5"/>
      <c r="L1896" s="5"/>
      <c r="M1896" s="5"/>
      <c r="N1896" s="5"/>
      <c r="O1896" s="5"/>
      <c r="P1896" s="5"/>
      <c r="Q1896" s="5"/>
    </row>
    <row r="1897" spans="1:17" x14ac:dyDescent="0.25">
      <c r="A1897" s="5"/>
      <c r="B1897" s="5"/>
      <c r="C1897" s="5"/>
      <c r="D1897" s="5"/>
      <c r="E1897" s="5"/>
      <c r="F1897" s="5"/>
      <c r="G1897" s="5"/>
      <c r="H1897" s="5"/>
      <c r="I1897" s="5"/>
      <c r="J1897" s="5"/>
      <c r="K1897" s="5"/>
      <c r="L1897" s="5"/>
      <c r="M1897" s="5"/>
      <c r="N1897" s="5"/>
      <c r="O1897" s="5"/>
      <c r="P1897" s="5"/>
      <c r="Q1897" s="5"/>
    </row>
    <row r="1898" spans="1:17" x14ac:dyDescent="0.25">
      <c r="A1898" s="5"/>
      <c r="B1898" s="5"/>
      <c r="C1898" s="5"/>
      <c r="D1898" s="5"/>
      <c r="E1898" s="5"/>
      <c r="F1898" s="5"/>
      <c r="G1898" s="5"/>
      <c r="H1898" s="5"/>
      <c r="I1898" s="5"/>
      <c r="J1898" s="5"/>
      <c r="K1898" s="5"/>
      <c r="L1898" s="5"/>
      <c r="M1898" s="5"/>
      <c r="N1898" s="5"/>
      <c r="O1898" s="5"/>
      <c r="P1898" s="5"/>
      <c r="Q1898" s="5"/>
    </row>
    <row r="1899" spans="1:17" x14ac:dyDescent="0.25">
      <c r="A1899" s="5"/>
      <c r="B1899" s="5"/>
      <c r="C1899" s="5"/>
      <c r="D1899" s="5"/>
      <c r="E1899" s="5"/>
      <c r="F1899" s="5"/>
      <c r="G1899" s="5"/>
      <c r="H1899" s="5"/>
      <c r="I1899" s="5"/>
      <c r="J1899" s="5"/>
      <c r="K1899" s="5"/>
      <c r="L1899" s="5"/>
      <c r="M1899" s="5"/>
      <c r="N1899" s="5"/>
      <c r="O1899" s="5"/>
      <c r="P1899" s="5"/>
      <c r="Q1899" s="5"/>
    </row>
    <row r="1900" spans="1:17" x14ac:dyDescent="0.25">
      <c r="A1900" s="5"/>
      <c r="B1900" s="5"/>
      <c r="C1900" s="5"/>
      <c r="D1900" s="5"/>
      <c r="E1900" s="5"/>
      <c r="F1900" s="5"/>
      <c r="G1900" s="5"/>
      <c r="H1900" s="5"/>
      <c r="I1900" s="5"/>
      <c r="J1900" s="5"/>
      <c r="K1900" s="5"/>
      <c r="L1900" s="5"/>
      <c r="M1900" s="5"/>
      <c r="N1900" s="5"/>
      <c r="O1900" s="5"/>
      <c r="P1900" s="5"/>
      <c r="Q190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Данные</vt:lpstr>
      <vt:lpstr>Спирман_графики</vt:lpstr>
      <vt:lpstr>Регрессия_графики</vt:lpstr>
      <vt:lpstr>Расчёты_графиков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Nikita Kozin</cp:lastModifiedBy>
  <dcterms:created xsi:type="dcterms:W3CDTF">2026-10-07T17:18:05Z</dcterms:created>
  <dcterms:modified xsi:type="dcterms:W3CDTF">2026-10-07T17:37:49Z</dcterms:modified>
</cp:coreProperties>
</file>